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1840" windowHeight="11832" tabRatio="843" activeTab="0"/>
  </bookViews>
  <sheets>
    <sheet name="Quants. e Especs." sheetId="1" r:id="rId1"/>
  </sheets>
  <externalReferences>
    <externalReference r:id="rId4"/>
  </externalReferences>
  <definedNames>
    <definedName name="_xlnm.Print_Area" localSheetId="0">'Quants. e Especs.'!$A$1:$K$106</definedName>
    <definedName name="_xlnm.Print_Titles" localSheetId="0">'Quants. e Especs.'!$1:$9</definedName>
  </definedNames>
  <calcPr fullCalcOnLoad="1"/>
</workbook>
</file>

<file path=xl/sharedStrings.xml><?xml version="1.0" encoding="utf-8"?>
<sst xmlns="http://schemas.openxmlformats.org/spreadsheetml/2006/main" count="345" uniqueCount="194">
  <si>
    <t>ITEM</t>
  </si>
  <si>
    <t>SERVIÇOS</t>
  </si>
  <si>
    <t>OBRA:</t>
  </si>
  <si>
    <t>LOCAL:</t>
  </si>
  <si>
    <t>DATA:</t>
  </si>
  <si>
    <t>1.1</t>
  </si>
  <si>
    <t>1.2</t>
  </si>
  <si>
    <t>1.3</t>
  </si>
  <si>
    <t>1.4</t>
  </si>
  <si>
    <t>4.1</t>
  </si>
  <si>
    <t>4.2</t>
  </si>
  <si>
    <t>4.4</t>
  </si>
  <si>
    <t>2.1</t>
  </si>
  <si>
    <t>2.2</t>
  </si>
  <si>
    <t>5.1</t>
  </si>
  <si>
    <t>6.1</t>
  </si>
  <si>
    <t>7.1</t>
  </si>
  <si>
    <t>Rod. Admar Gonzaga, 655 - Itacorubi - Florianópolis/SC</t>
  </si>
  <si>
    <t>1.</t>
  </si>
  <si>
    <t>REVESTIMENTOS DE PISOS</t>
  </si>
  <si>
    <t>IMPERMEABILIZAÇÕES</t>
  </si>
  <si>
    <t>DIVERSOS</t>
  </si>
  <si>
    <t>2.</t>
  </si>
  <si>
    <t>5.</t>
  </si>
  <si>
    <t>6.</t>
  </si>
  <si>
    <t>7.</t>
  </si>
  <si>
    <t>Limpeza geral da obra</t>
  </si>
  <si>
    <t>6.2</t>
  </si>
  <si>
    <t>8.1</t>
  </si>
  <si>
    <t xml:space="preserve">SERVIÇOS PRELIMINARES </t>
  </si>
  <si>
    <t>m³</t>
  </si>
  <si>
    <t>m²</t>
  </si>
  <si>
    <t>REFERENCIAL</t>
  </si>
  <si>
    <t>SINAPI</t>
  </si>
  <si>
    <t>UNID.</t>
  </si>
  <si>
    <t>QUANT.</t>
  </si>
  <si>
    <t>CUSTO TOTAL</t>
  </si>
  <si>
    <t>VALOR TOTAL C/ BDI</t>
  </si>
  <si>
    <t>CEPON - Centro de Pesquisas Oncológicas.</t>
  </si>
  <si>
    <t>INDIC. DE CORREÇÃO</t>
  </si>
  <si>
    <t>2.3</t>
  </si>
  <si>
    <t>CÓD. REFERENCIAL</t>
  </si>
  <si>
    <t>BDI</t>
  </si>
  <si>
    <t xml:space="preserve">PLANILHA DESCRITIVA, QUANTITATIVA E ORÇAMENTÁRIA </t>
  </si>
  <si>
    <t>TROCA DE REVESTIMENTO DE PISO ALA DE INTERNAÇÃO 1° PAVIMENTO</t>
  </si>
  <si>
    <t>1.5</t>
  </si>
  <si>
    <t>1.6</t>
  </si>
  <si>
    <t>5.2</t>
  </si>
  <si>
    <t>5.3</t>
  </si>
  <si>
    <t>5.4</t>
  </si>
  <si>
    <t>Impermeabilização de piso com manta líquida (3 demãos), com tela de poliester</t>
  </si>
  <si>
    <t>8.2</t>
  </si>
  <si>
    <t>8.3</t>
  </si>
  <si>
    <t>Aplicação de 5 demãos de manta liquida em juntas de dilatação de piso, com tela de poliester</t>
  </si>
  <si>
    <t>8.4</t>
  </si>
  <si>
    <t>8.5</t>
  </si>
  <si>
    <t>INSTALAÇÕES HIDRÁULICAS</t>
  </si>
  <si>
    <t>ACABAMENTOS</t>
  </si>
  <si>
    <t>6.3</t>
  </si>
  <si>
    <t>7.2</t>
  </si>
  <si>
    <t>TOTAL TROCA DE REVESTIMENTO DE PISO ALA DE INTERNAÇÃO 1° PAVIMENTO</t>
  </si>
  <si>
    <t>5.5</t>
  </si>
  <si>
    <t>5.6</t>
  </si>
  <si>
    <t>5.7</t>
  </si>
  <si>
    <t>m</t>
  </si>
  <si>
    <t>peça</t>
  </si>
  <si>
    <t>6.5</t>
  </si>
  <si>
    <t>6.8</t>
  </si>
  <si>
    <t>6.9</t>
  </si>
  <si>
    <t>Remoção vasos sanitários com reaproveitamento</t>
  </si>
  <si>
    <t>2.4</t>
  </si>
  <si>
    <t>Remoção e descarte de piso vinílico de quartos e circulação</t>
  </si>
  <si>
    <t>Remoção e descarte de piso cerâmico dos banheiros</t>
  </si>
  <si>
    <t>Remoção e descarte rodapé banheiros</t>
  </si>
  <si>
    <t>DEMOLIÇÕES E DESCARTE</t>
  </si>
  <si>
    <t>Aplicação de rejunte epóxi, junta de 1,5 a 2 mm</t>
  </si>
  <si>
    <t>5.8</t>
  </si>
  <si>
    <t>Corte e fresa de rodapé, h=14</t>
  </si>
  <si>
    <t>Tratamento de área de reboco degradado</t>
  </si>
  <si>
    <t>1.7</t>
  </si>
  <si>
    <t>7.3</t>
  </si>
  <si>
    <t>Instalação de visor de vidro existente, em parede de gesso acartonado</t>
  </si>
  <si>
    <t>8.</t>
  </si>
  <si>
    <t>8.6</t>
  </si>
  <si>
    <t>9.</t>
  </si>
  <si>
    <t>9.1</t>
  </si>
  <si>
    <t>9.2</t>
  </si>
  <si>
    <t>Desmonte e remontagem de guarda corpo metálico e pvc, para descarte de materiais</t>
  </si>
  <si>
    <t>5.9</t>
  </si>
  <si>
    <t>Banheiro químico</t>
  </si>
  <si>
    <t>2.5</t>
  </si>
  <si>
    <t>Remoção e descarte de junta de dilatação existente</t>
  </si>
  <si>
    <t>Demolição e descarte de parede em alvenaria</t>
  </si>
  <si>
    <t>2.6</t>
  </si>
  <si>
    <t>Remoção e reinstalação de bate-maca</t>
  </si>
  <si>
    <t>1.8</t>
  </si>
  <si>
    <t>8.7</t>
  </si>
  <si>
    <t>7.4</t>
  </si>
  <si>
    <t>6.10</t>
  </si>
  <si>
    <t xml:space="preserve">Guarda corpo provisório em madeira, considerando desmanche </t>
  </si>
  <si>
    <t>cj</t>
  </si>
  <si>
    <t>2.7</t>
  </si>
  <si>
    <t>Instalação de rodapé de porcelanto</t>
  </si>
  <si>
    <t xml:space="preserve">Corte de cantoneiras de pvc, sem remover </t>
  </si>
  <si>
    <t>SALA DE LAUDO</t>
  </si>
  <si>
    <t>Instalação de forro em gesso acartonado</t>
  </si>
  <si>
    <t>DML</t>
  </si>
  <si>
    <t>Instalação de forro de gesso acartonado</t>
  </si>
  <si>
    <t>Tanque suspenso em inox, 30 litros ou equivalente</t>
  </si>
  <si>
    <t>Adequação do forro após reinstalaçao das luminárias existentes</t>
  </si>
  <si>
    <t>7.5</t>
  </si>
  <si>
    <t>7.6</t>
  </si>
  <si>
    <t>1.9</t>
  </si>
  <si>
    <t>3.1</t>
  </si>
  <si>
    <t>3.3</t>
  </si>
  <si>
    <t>3.2</t>
  </si>
  <si>
    <t>3.4</t>
  </si>
  <si>
    <t>5.10</t>
  </si>
  <si>
    <t>6.4</t>
  </si>
  <si>
    <t>6.6</t>
  </si>
  <si>
    <t>6.7</t>
  </si>
  <si>
    <t>7.7</t>
  </si>
  <si>
    <t>7.8</t>
  </si>
  <si>
    <t>7.9</t>
  </si>
  <si>
    <t>7.10</t>
  </si>
  <si>
    <t>9.3</t>
  </si>
  <si>
    <t>9.4</t>
  </si>
  <si>
    <t>9.5</t>
  </si>
  <si>
    <t>9.6</t>
  </si>
  <si>
    <t>9.7</t>
  </si>
  <si>
    <t>9.8</t>
  </si>
  <si>
    <t>10.</t>
  </si>
  <si>
    <t>10.1</t>
  </si>
  <si>
    <t>10.2</t>
  </si>
  <si>
    <t>7.11</t>
  </si>
  <si>
    <t>Ponto para telefone</t>
  </si>
  <si>
    <t>Ponto de rede com tomada RJ-45</t>
  </si>
  <si>
    <t>Remoção e reinstalação de itens fixos na parede (tomadas e interruptores, prateleiras, extintores e placas, papeleiras, porta alcool, saboneteiras, luminárias de emergência, placas de comunicação visual, reguas de gases, arandelas, espelho parabólico, placas de saída de emergência, alarmes de incendio, porta papel acrilico, campanhias</t>
  </si>
  <si>
    <t>POSTO DE ENFERMAGEM</t>
  </si>
  <si>
    <t>6.11</t>
  </si>
  <si>
    <t>Fornecimento e instalação de porta de correr, vão 1 m. Incluindo pintura e ferragens</t>
  </si>
  <si>
    <t>10.3</t>
  </si>
  <si>
    <t>Fornecimento e instalação de Porta de giro 80 cm, incluindo pintura em esmalte sintetico e ferragens</t>
  </si>
  <si>
    <t>Abrigo Provisório para depósito de materiais e ferramentas</t>
  </si>
  <si>
    <t>un.</t>
  </si>
  <si>
    <t>Demolição e descarte de contrapiso, considerando espessura de 9 cm</t>
  </si>
  <si>
    <t>Remoção e descarte de box de PVC sanfonado</t>
  </si>
  <si>
    <t>Remoção e descarte dos móveis de PVC dos postos de serviço e recepção</t>
  </si>
  <si>
    <t>Tratamento de juntas de dilatação com cordão de polietileno</t>
  </si>
  <si>
    <t>Reforço com tela de poliester e manta líquida no entorno dos ralos existentes</t>
  </si>
  <si>
    <t>4.3</t>
  </si>
  <si>
    <t>Anel de vedação para reinstalação dos vasos sanitários existentes</t>
  </si>
  <si>
    <t>Conjunto de fixação para reinstalação vasos sanitários existentes</t>
  </si>
  <si>
    <t>Reinstalação de vasos sanitários existentes</t>
  </si>
  <si>
    <t>Engate flèxível de pvc para reinstalação de vasos sanitários existentes</t>
  </si>
  <si>
    <t>Instalação e fornecimento de ralo linear 1,90 cm em alumínio extrudado e grelha de alumínio</t>
  </si>
  <si>
    <t>Tubo esgoto PVC 40 mm</t>
  </si>
  <si>
    <t>Joelho esgoto PVC 40 mm</t>
  </si>
  <si>
    <t>Luva esgoto PVC 40 mm</t>
  </si>
  <si>
    <t xml:space="preserve">Porta grelha e grelha Inox  - diâmetro 100 mm </t>
  </si>
  <si>
    <t>Prolongador de cx. Sifonada, 15 cm x 100 mm</t>
  </si>
  <si>
    <t>Ponto de iluminação simples, incluindo interruptor, caixa de passagem, eletroduto e fiação</t>
  </si>
  <si>
    <t>Ponto de tomada 10A - 3 módulos, incluindo caixa de passagem, eletroduto e fiação</t>
  </si>
  <si>
    <t>6.12</t>
  </si>
  <si>
    <t>Fornecimento e instalação de visor de vidro incolor laminado e=8mm (80 x 100 cm )</t>
  </si>
  <si>
    <t>Pintura de parede de gesso, selador + 2 demãos acrílico semi brilho</t>
  </si>
  <si>
    <t>Pintura PVA em forro de gesso acortonado, incluindo massa e fundo</t>
  </si>
  <si>
    <t>Reposicionamento em aproximadamente 50 cm, de luminárias existentes, considerando aumento na fiação se necessário (hall recepção)</t>
  </si>
  <si>
    <t>Luminária painel LED embutir 62,5x62,5cm - 4000 K</t>
  </si>
  <si>
    <t>Luminária painel LED 62,5x62,5 cm - 4000 K</t>
  </si>
  <si>
    <t>Torneira para tanque, incluindo tomada a partir de rede existente incluso rasgo e chumbamento</t>
  </si>
  <si>
    <t>Ponto de esgoto de tanque e interligação em rede existente (tubulaçao em pvc D=40mm), incluindo incluso rasgo e chumbamento</t>
  </si>
  <si>
    <t>Execução de parede de gesso acartonado com reforço em chapa OSB e isolante acústico com lã de rocha 50 mm</t>
  </si>
  <si>
    <t>Remoção de visor de vidro para reaproveitamento</t>
  </si>
  <si>
    <t>Juntas de dilatação de piso (acabamento)</t>
  </si>
  <si>
    <t>junta de dilatação de parede (acabamento)</t>
  </si>
  <si>
    <t>Reposição de azulejo cerâmico nos banheiros</t>
  </si>
  <si>
    <t>Repintura de forro de gesso acartonado</t>
  </si>
  <si>
    <t>Transporte vertical e horizontal (remoção de mobiliário existente)</t>
  </si>
  <si>
    <t>Recolocação do mobiliário existentes no local</t>
  </si>
  <si>
    <t>Plantio de grama no local do canteiro de obra</t>
  </si>
  <si>
    <t>06/2019</t>
  </si>
  <si>
    <t>27,64</t>
  </si>
  <si>
    <t>CUSTO UNITÁRIO</t>
  </si>
  <si>
    <t>3.5</t>
  </si>
  <si>
    <t>Aplicação de resina polimérica como ponte de aderência</t>
  </si>
  <si>
    <t>m2</t>
  </si>
  <si>
    <r>
      <t xml:space="preserve">Execução de tapumes de </t>
    </r>
    <r>
      <rPr>
        <sz val="10"/>
        <color indexed="10"/>
        <rFont val="Arial"/>
        <family val="2"/>
      </rPr>
      <t>compensado</t>
    </r>
    <r>
      <rPr>
        <sz val="10"/>
        <rFont val="Arial"/>
        <family val="2"/>
      </rPr>
      <t xml:space="preserve"> e lona para isolar áreas a trabalhar</t>
    </r>
  </si>
  <si>
    <r>
      <t xml:space="preserve">Contrapiso bombeado </t>
    </r>
    <r>
      <rPr>
        <sz val="10"/>
        <color indexed="10"/>
        <rFont val="Arial"/>
        <family val="2"/>
      </rPr>
      <t>ou misturado no local e transportado com mini grua</t>
    </r>
    <r>
      <rPr>
        <sz val="10"/>
        <rFont val="Arial"/>
        <family val="2"/>
      </rPr>
      <t>, Fck = 8 Mpa; e=7,5cm</t>
    </r>
  </si>
  <si>
    <r>
      <t xml:space="preserve">Instalação de piso porcelanato </t>
    </r>
    <r>
      <rPr>
        <sz val="10"/>
        <color indexed="10"/>
        <rFont val="Arial"/>
        <family val="2"/>
      </rPr>
      <t xml:space="preserve">60 x 60 cm </t>
    </r>
    <r>
      <rPr>
        <sz val="10"/>
        <rFont val="Arial"/>
        <family val="2"/>
      </rPr>
      <t>com argamassa de assentamento AC3, aplicação em camada dupla</t>
    </r>
  </si>
  <si>
    <r>
      <t xml:space="preserve">Execução de parede de gesso acartonado com reforço em chapa OSB (15 mm) </t>
    </r>
    <r>
      <rPr>
        <sz val="10"/>
        <color indexed="10"/>
        <rFont val="Arial"/>
        <family val="2"/>
      </rPr>
      <t>nos dois lados</t>
    </r>
    <r>
      <rPr>
        <sz val="10"/>
        <rFont val="Arial"/>
        <family val="2"/>
      </rPr>
      <t xml:space="preserve"> e isolante acústico com lã de rocha de 50 mm</t>
    </r>
  </si>
  <si>
    <t>Reposicionamento, em aproximadamente 50 cm, de luminárias existentes, considerando aumento na fiação se necessário (hall recepção)</t>
  </si>
  <si>
    <r>
      <t xml:space="preserve">Execução de parede de gesso acartonado com reforço em chapa OSB (15mm), </t>
    </r>
    <r>
      <rPr>
        <sz val="10"/>
        <color indexed="10"/>
        <rFont val="Arial"/>
        <family val="2"/>
      </rPr>
      <t>nos dois lados</t>
    </r>
    <r>
      <rPr>
        <sz val="10"/>
        <rFont val="Arial"/>
        <family val="2"/>
      </rPr>
      <t xml:space="preserve"> e isolante acustico com lâ de rocha 50 mm</t>
    </r>
  </si>
  <si>
    <r>
      <t xml:space="preserve">Repintura de paredes com tinta acrílica </t>
    </r>
    <r>
      <rPr>
        <sz val="10"/>
        <color indexed="10"/>
        <rFont val="Arial"/>
        <family val="2"/>
      </rPr>
      <t>semi-brilho</t>
    </r>
    <r>
      <rPr>
        <sz val="10"/>
        <rFont val="Arial"/>
        <family val="2"/>
      </rPr>
      <t xml:space="preserve"> - 2 demãos + fundo preparador</t>
    </r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</si>
</sst>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h:mm"/>
    <numFmt numFmtId="179" formatCode="#,##0.000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h]:mm"/>
    <numFmt numFmtId="185" formatCode="#,##0.00;[Red]#,##0.00"/>
    <numFmt numFmtId="186" formatCode="0.0"/>
    <numFmt numFmtId="187" formatCode="00"/>
    <numFmt numFmtId="188" formatCode="[$-416]dddd\,\ d&quot; de &quot;mmmm&quot; de &quot;yyyy"/>
    <numFmt numFmtId="189" formatCode="_(&quot;R$&quot;* #,##0.00_);_(&quot;R$&quot;* \(#,##0.00\);_(&quot;R$&quot;* &quot;-&quot;??_);_(@_)"/>
    <numFmt numFmtId="190" formatCode="dd/mm/yy;@"/>
    <numFmt numFmtId="191" formatCode="0.00000"/>
    <numFmt numFmtId="192" formatCode="0.0000"/>
    <numFmt numFmtId="193" formatCode="0.000"/>
    <numFmt numFmtId="194" formatCode="#.##0"/>
    <numFmt numFmtId="195" formatCode="#.##000000"/>
    <numFmt numFmtId="196" formatCode="[$€-2]\ #,##0.00_);[Red]\([$€-2]\ #,##0.00\)"/>
    <numFmt numFmtId="197" formatCode="00,000"/>
    <numFmt numFmtId="198" formatCode="000,000"/>
    <numFmt numFmtId="199" formatCode="&quot;R$&quot;#,##0.00"/>
    <numFmt numFmtId="200" formatCode="_(* #,##0.00_);_(* \(#,##0.00\);_(* \-??_);_(@_)"/>
    <numFmt numFmtId="201" formatCode="mmm/yyyy"/>
    <numFmt numFmtId="202" formatCode="0.0%"/>
    <numFmt numFmtId="203" formatCode="&quot;R$&quot;\ #,##0.00"/>
    <numFmt numFmtId="204" formatCode="00.0"/>
    <numFmt numFmtId="205" formatCode="00.00"/>
    <numFmt numFmtId="206" formatCode="00.000"/>
    <numFmt numFmtId="207" formatCode="00.0000"/>
    <numFmt numFmtId="208" formatCode="_(* #,##0.000_);_(* \(#,##0.000\);_(* &quot;-&quot;??_);_(@_)"/>
    <numFmt numFmtId="209" formatCode="_(* #,##0_);_(* \(#,##0\);_(* &quot;-&quot;??_);_(@_)"/>
    <numFmt numFmtId="210" formatCode="#,##0.0"/>
    <numFmt numFmtId="211" formatCode="_(&quot;R$ &quot;* #,##0.00_);_(&quot;R$ &quot;* \(#,##0.00\);_(&quot;R$ &quot;* \-??_);_(@_)"/>
    <numFmt numFmtId="212" formatCode="&quot;R$ &quot;#,##0.00"/>
    <numFmt numFmtId="213" formatCode="_(&quot;R$ &quot;* #,##0.000_);_(&quot;R$ &quot;* \(#,##0.000\);_(&quot;R$ &quot;* &quot;-&quot;??_);_(@_)"/>
    <numFmt numFmtId="214" formatCode="_(&quot;R$ &quot;* #,##0.0000_);_(&quot;R$ &quot;* \(#,##0.0000\);_(&quot;R$ &quot;* &quot;-&quot;??_);_(@_)"/>
    <numFmt numFmtId="215" formatCode="_(&quot;R$ &quot;* #,##0.0_);_(&quot;R$ &quot;* \(#,##0.0\);_(&quot;R$ &quot;* &quot;-&quot;??_);_(@_)"/>
    <numFmt numFmtId="216" formatCode="&quot;Ativado&quot;;&quot;Ativado&quot;;&quot;Desativado&quot;"/>
  </numFmts>
  <fonts count="61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23"/>
      <name val="Calibri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0" tint="-0.4999699890613556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0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57" applyFont="1" applyFill="1" applyBorder="1" applyAlignment="1">
      <alignment vertical="center"/>
      <protection/>
    </xf>
    <xf numFmtId="0" fontId="1" fillId="0" borderId="0" xfId="57" applyFont="1" applyFill="1" applyBorder="1" applyAlignment="1" applyProtection="1">
      <alignment horizontal="left" vertical="center"/>
      <protection locked="0"/>
    </xf>
    <xf numFmtId="0" fontId="1" fillId="0" borderId="0" xfId="57" applyFont="1" applyFill="1" applyBorder="1" applyAlignment="1" applyProtection="1">
      <alignment horizontal="center" vertical="center"/>
      <protection locked="0"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left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177" fontId="8" fillId="0" borderId="0" xfId="85" applyFont="1" applyBorder="1" applyAlignment="1">
      <alignment horizontal="center" vertical="center"/>
    </xf>
    <xf numFmtId="0" fontId="10" fillId="0" borderId="0" xfId="60" applyFont="1" applyFill="1" applyBorder="1" applyAlignment="1">
      <alignment vertical="center"/>
      <protection/>
    </xf>
    <xf numFmtId="0" fontId="10" fillId="0" borderId="0" xfId="60" applyFont="1" applyBorder="1" applyAlignment="1">
      <alignment vertical="center"/>
      <protection/>
    </xf>
    <xf numFmtId="0" fontId="1" fillId="0" borderId="0" xfId="57" applyNumberFormat="1" applyFont="1" applyFill="1" applyBorder="1" applyAlignment="1" applyProtection="1">
      <alignment horizontal="left" vertical="center"/>
      <protection locked="0"/>
    </xf>
    <xf numFmtId="0" fontId="8" fillId="0" borderId="0" xfId="85" applyNumberFormat="1" applyFont="1" applyBorder="1" applyAlignment="1">
      <alignment horizontal="center" vertical="center"/>
    </xf>
    <xf numFmtId="44" fontId="1" fillId="0" borderId="0" xfId="57" applyNumberFormat="1" applyFont="1" applyFill="1" applyBorder="1" applyAlignment="1" applyProtection="1">
      <alignment horizontal="right" vertical="center"/>
      <protection locked="0"/>
    </xf>
    <xf numFmtId="44" fontId="8" fillId="0" borderId="0" xfId="60" applyNumberFormat="1" applyFont="1" applyFill="1" applyBorder="1" applyAlignment="1">
      <alignment vertical="center"/>
      <protection/>
    </xf>
    <xf numFmtId="203" fontId="10" fillId="0" borderId="0" xfId="85" applyNumberFormat="1" applyFont="1" applyFill="1" applyBorder="1" applyAlignment="1">
      <alignment horizontal="right" vertical="center"/>
    </xf>
    <xf numFmtId="49" fontId="55" fillId="0" borderId="0" xfId="57" applyNumberFormat="1" applyFont="1" applyFill="1" applyBorder="1" applyAlignment="1" applyProtection="1">
      <alignment horizontal="center" vertical="center"/>
      <protection locked="0"/>
    </xf>
    <xf numFmtId="49" fontId="56" fillId="0" borderId="0" xfId="85" applyNumberFormat="1" applyFont="1" applyFill="1" applyBorder="1" applyAlignment="1">
      <alignment horizontal="center" vertical="center"/>
    </xf>
    <xf numFmtId="44" fontId="10" fillId="0" borderId="0" xfId="85" applyNumberFormat="1" applyFont="1" applyFill="1" applyBorder="1" applyAlignment="1">
      <alignment horizontal="right" vertical="center"/>
    </xf>
    <xf numFmtId="0" fontId="9" fillId="16" borderId="10" xfId="0" applyFont="1" applyFill="1" applyBorder="1" applyAlignment="1">
      <alignment horizontal="center" vertical="center"/>
    </xf>
    <xf numFmtId="203" fontId="9" fillId="16" borderId="10" xfId="70" applyNumberFormat="1" applyFont="1" applyFill="1" applyBorder="1" applyAlignment="1" applyProtection="1">
      <alignment horizontal="right" vertical="center"/>
      <protection/>
    </xf>
    <xf numFmtId="44" fontId="4" fillId="0" borderId="0" xfId="57" applyNumberFormat="1" applyFont="1" applyFill="1" applyBorder="1" applyAlignment="1" applyProtection="1">
      <alignment horizontal="right" vertical="center"/>
      <protection locked="0"/>
    </xf>
    <xf numFmtId="44" fontId="8" fillId="0" borderId="0" xfId="85" applyNumberFormat="1" applyFont="1" applyFill="1" applyBorder="1" applyAlignment="1">
      <alignment horizontal="right" vertical="center"/>
    </xf>
    <xf numFmtId="2" fontId="8" fillId="0" borderId="0" xfId="85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16" borderId="12" xfId="0" applyFont="1" applyFill="1" applyBorder="1" applyAlignment="1">
      <alignment vertical="center" wrapText="1"/>
    </xf>
    <xf numFmtId="0" fontId="9" fillId="16" borderId="11" xfId="0" applyFont="1" applyFill="1" applyBorder="1" applyAlignment="1">
      <alignment vertical="center" wrapText="1"/>
    </xf>
    <xf numFmtId="0" fontId="9" fillId="16" borderId="13" xfId="0" applyFont="1" applyFill="1" applyBorder="1" applyAlignment="1">
      <alignment vertical="center" wrapText="1"/>
    </xf>
    <xf numFmtId="203" fontId="1" fillId="0" borderId="14" xfId="57" applyNumberFormat="1" applyFont="1" applyFill="1" applyBorder="1" applyAlignment="1" applyProtection="1">
      <alignment horizontal="right" vertical="center"/>
      <protection locked="0"/>
    </xf>
    <xf numFmtId="0" fontId="0" fillId="0" borderId="15" xfId="58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49" fontId="55" fillId="16" borderId="16" xfId="0" applyNumberFormat="1" applyFont="1" applyFill="1" applyBorder="1" applyAlignment="1">
      <alignment horizontal="center" vertical="center"/>
    </xf>
    <xf numFmtId="203" fontId="7" fillId="16" borderId="17" xfId="70" applyNumberFormat="1" applyFont="1" applyFill="1" applyBorder="1" applyAlignment="1" applyProtection="1">
      <alignment horizontal="right" vertical="center"/>
      <protection/>
    </xf>
    <xf numFmtId="4" fontId="1" fillId="0" borderId="0" xfId="57" applyNumberFormat="1" applyFont="1" applyFill="1" applyBorder="1" applyAlignment="1" applyProtection="1">
      <alignment horizontal="right" vertical="center"/>
      <protection locked="0"/>
    </xf>
    <xf numFmtId="4" fontId="9" fillId="16" borderId="11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8" fillId="0" borderId="0" xfId="85" applyNumberFormat="1" applyFont="1" applyFill="1" applyBorder="1" applyAlignment="1">
      <alignment horizontal="right" vertical="center"/>
    </xf>
    <xf numFmtId="4" fontId="8" fillId="0" borderId="0" xfId="60" applyNumberFormat="1" applyFont="1" applyBorder="1" applyAlignment="1">
      <alignment horizontal="right" vertical="center"/>
      <protection/>
    </xf>
    <xf numFmtId="4" fontId="9" fillId="16" borderId="11" xfId="0" applyNumberFormat="1" applyFont="1" applyFill="1" applyBorder="1" applyAlignment="1">
      <alignment vertical="center" wrapText="1"/>
    </xf>
    <xf numFmtId="4" fontId="9" fillId="16" borderId="13" xfId="0" applyNumberFormat="1" applyFont="1" applyFill="1" applyBorder="1" applyAlignment="1">
      <alignment vertical="center" wrapText="1"/>
    </xf>
    <xf numFmtId="49" fontId="57" fillId="0" borderId="10" xfId="70" applyNumberFormat="1" applyFont="1" applyFill="1" applyBorder="1" applyAlignment="1" applyProtection="1" quotePrefix="1">
      <alignment horizontal="center" vertical="center" wrapText="1"/>
      <protection/>
    </xf>
    <xf numFmtId="49" fontId="58" fillId="16" borderId="13" xfId="0" applyNumberFormat="1" applyFont="1" applyFill="1" applyBorder="1" applyAlignment="1">
      <alignment horizontal="center" vertical="center" wrapText="1"/>
    </xf>
    <xf numFmtId="49" fontId="57" fillId="0" borderId="13" xfId="70" applyNumberFormat="1" applyFont="1" applyFill="1" applyBorder="1" applyAlignment="1" applyProtection="1" quotePrefix="1">
      <alignment horizontal="center" vertical="center" wrapText="1"/>
      <protection/>
    </xf>
    <xf numFmtId="49" fontId="57" fillId="0" borderId="18" xfId="73" applyNumberFormat="1" applyFont="1" applyFill="1" applyBorder="1" applyAlignment="1" applyProtection="1">
      <alignment horizontal="center" vertical="center" wrapText="1"/>
      <protection/>
    </xf>
    <xf numFmtId="49" fontId="9" fillId="33" borderId="19" xfId="58" applyNumberFormat="1" applyFont="1" applyFill="1" applyBorder="1" applyAlignment="1" applyProtection="1">
      <alignment horizontal="center" vertical="center"/>
      <protection locked="0"/>
    </xf>
    <xf numFmtId="49" fontId="9" fillId="33" borderId="19" xfId="85" applyNumberFormat="1" applyFont="1" applyFill="1" applyBorder="1" applyAlignment="1" applyProtection="1">
      <alignment horizontal="center" vertical="center"/>
      <protection locked="0"/>
    </xf>
    <xf numFmtId="0" fontId="9" fillId="33" borderId="19" xfId="85" applyNumberFormat="1" applyFont="1" applyFill="1" applyBorder="1" applyAlignment="1" applyProtection="1">
      <alignment horizontal="center" vertical="center" wrapText="1"/>
      <protection locked="0"/>
    </xf>
    <xf numFmtId="49" fontId="9" fillId="33" borderId="19" xfId="85" applyNumberFormat="1" applyFont="1" applyFill="1" applyBorder="1" applyAlignment="1" applyProtection="1">
      <alignment horizontal="center" vertical="center" wrapText="1"/>
      <protection locked="0"/>
    </xf>
    <xf numFmtId="4" fontId="9" fillId="33" borderId="19" xfId="58" applyNumberFormat="1" applyFont="1" applyFill="1" applyBorder="1" applyAlignment="1" applyProtection="1">
      <alignment horizontal="center" vertical="center"/>
      <protection locked="0"/>
    </xf>
    <xf numFmtId="44" fontId="9" fillId="33" borderId="19" xfId="85" applyNumberFormat="1" applyFont="1" applyFill="1" applyBorder="1" applyAlignment="1" applyProtection="1">
      <alignment horizontal="center" vertical="center" wrapText="1"/>
      <protection locked="0"/>
    </xf>
    <xf numFmtId="49" fontId="9" fillId="33" borderId="18" xfId="85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58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62" applyFont="1" applyFill="1" applyBorder="1" applyAlignment="1" applyProtection="1">
      <alignment horizontal="left" vertical="center" wrapText="1"/>
      <protection/>
    </xf>
    <xf numFmtId="177" fontId="0" fillId="0" borderId="10" xfId="70" applyFont="1" applyFill="1" applyBorder="1" applyAlignment="1" applyProtection="1" quotePrefix="1">
      <alignment horizontal="center" vertical="center" wrapText="1"/>
      <protection/>
    </xf>
    <xf numFmtId="0" fontId="0" fillId="0" borderId="10" xfId="70" applyNumberFormat="1" applyFont="1" applyFill="1" applyBorder="1" applyAlignment="1" applyProtection="1" quotePrefix="1">
      <alignment horizontal="center" vertical="center" wrapText="1"/>
      <protection/>
    </xf>
    <xf numFmtId="177" fontId="12" fillId="0" borderId="10" xfId="70" applyFont="1" applyFill="1" applyBorder="1" applyAlignment="1" applyProtection="1" quotePrefix="1">
      <alignment horizontal="center" vertical="center" wrapText="1"/>
      <protection/>
    </xf>
    <xf numFmtId="4" fontId="0" fillId="0" borderId="10" xfId="70" applyNumberFormat="1" applyFont="1" applyFill="1" applyBorder="1" applyAlignment="1" applyProtection="1" quotePrefix="1">
      <alignment horizontal="right" vertical="center" wrapText="1"/>
      <protection/>
    </xf>
    <xf numFmtId="4" fontId="9" fillId="0" borderId="10" xfId="70" applyNumberFormat="1" applyFont="1" applyFill="1" applyBorder="1" applyAlignment="1" applyProtection="1" quotePrefix="1">
      <alignment horizontal="right" vertical="center" wrapText="1"/>
      <protection/>
    </xf>
    <xf numFmtId="49" fontId="0" fillId="0" borderId="10" xfId="70" applyNumberFormat="1" applyFont="1" applyFill="1" applyBorder="1" applyAlignment="1" applyProtection="1" quotePrefix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203" fontId="9" fillId="0" borderId="10" xfId="70" applyNumberFormat="1" applyFont="1" applyFill="1" applyBorder="1" applyAlignment="1" applyProtection="1" quotePrefix="1">
      <alignment horizontal="right" vertical="center" wrapText="1"/>
      <protection/>
    </xf>
    <xf numFmtId="177" fontId="0" fillId="0" borderId="12" xfId="70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12" fillId="0" borderId="10" xfId="70" applyNumberFormat="1" applyFont="1" applyFill="1" applyBorder="1" applyAlignment="1" applyProtection="1" quotePrefix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vertical="center" wrapText="1"/>
    </xf>
    <xf numFmtId="177" fontId="59" fillId="0" borderId="10" xfId="70" applyFont="1" applyFill="1" applyBorder="1" applyAlignment="1">
      <alignment horizontal="center" vertical="center"/>
    </xf>
    <xf numFmtId="0" fontId="59" fillId="0" borderId="10" xfId="7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" fontId="0" fillId="0" borderId="10" xfId="7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4" fontId="0" fillId="0" borderId="10" xfId="70" applyNumberFormat="1" applyFont="1" applyFill="1" applyBorder="1" applyAlignment="1">
      <alignment horizontal="center" vertical="center"/>
    </xf>
    <xf numFmtId="0" fontId="0" fillId="0" borderId="12" xfId="57" applyFont="1" applyFill="1" applyBorder="1" applyAlignment="1">
      <alignment vertical="center" wrapText="1"/>
      <protection/>
    </xf>
    <xf numFmtId="177" fontId="0" fillId="0" borderId="10" xfId="70" applyFont="1" applyFill="1" applyBorder="1" applyAlignment="1">
      <alignment horizontal="center" vertical="center"/>
    </xf>
    <xf numFmtId="0" fontId="0" fillId="0" borderId="10" xfId="70" applyNumberFormat="1" applyFont="1" applyFill="1" applyBorder="1" applyAlignment="1">
      <alignment horizontal="center" vertical="center"/>
    </xf>
    <xf numFmtId="0" fontId="0" fillId="0" borderId="10" xfId="57" applyFont="1" applyFill="1" applyBorder="1" applyAlignment="1">
      <alignment vertical="center" wrapText="1"/>
      <protection/>
    </xf>
    <xf numFmtId="177" fontId="0" fillId="0" borderId="11" xfId="70" applyFont="1" applyFill="1" applyBorder="1" applyAlignment="1">
      <alignment horizontal="center" vertical="center"/>
    </xf>
    <xf numFmtId="0" fontId="0" fillId="0" borderId="11" xfId="7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1" xfId="70" applyNumberFormat="1" applyFont="1" applyFill="1" applyBorder="1" applyAlignment="1">
      <alignment horizontal="right" vertical="center"/>
    </xf>
    <xf numFmtId="4" fontId="9" fillId="0" borderId="11" xfId="70" applyNumberFormat="1" applyFont="1" applyFill="1" applyBorder="1" applyAlignment="1" applyProtection="1" quotePrefix="1">
      <alignment horizontal="right" vertical="center" wrapText="1"/>
      <protection/>
    </xf>
    <xf numFmtId="4" fontId="0" fillId="0" borderId="13" xfId="70" applyNumberFormat="1" applyFont="1" applyFill="1" applyBorder="1" applyAlignment="1" applyProtection="1" quotePrefix="1">
      <alignment horizontal="right" vertical="center" wrapText="1"/>
      <protection/>
    </xf>
    <xf numFmtId="0" fontId="36" fillId="0" borderId="10" xfId="60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177" fontId="0" fillId="0" borderId="10" xfId="85" applyFont="1" applyFill="1" applyBorder="1" applyAlignment="1">
      <alignment horizontal="center" vertical="center"/>
    </xf>
    <xf numFmtId="0" fontId="0" fillId="0" borderId="10" xfId="85" applyNumberFormat="1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 wrapText="1"/>
      <protection/>
    </xf>
    <xf numFmtId="4" fontId="0" fillId="0" borderId="10" xfId="85" applyNumberFormat="1" applyFont="1" applyFill="1" applyBorder="1" applyAlignment="1">
      <alignment horizontal="right" vertical="center"/>
    </xf>
    <xf numFmtId="0" fontId="0" fillId="0" borderId="10" xfId="58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left" vertical="center" wrapText="1"/>
    </xf>
    <xf numFmtId="0" fontId="0" fillId="0" borderId="18" xfId="58" applyFont="1" applyFill="1" applyBorder="1" applyAlignment="1">
      <alignment horizontal="center" vertical="center"/>
      <protection/>
    </xf>
    <xf numFmtId="0" fontId="60" fillId="0" borderId="18" xfId="0" applyFont="1" applyFill="1" applyBorder="1" applyAlignment="1">
      <alignment horizontal="left" vertical="center" wrapText="1"/>
    </xf>
    <xf numFmtId="177" fontId="0" fillId="0" borderId="18" xfId="70" applyFont="1" applyFill="1" applyBorder="1" applyAlignment="1" applyProtection="1" quotePrefix="1">
      <alignment horizontal="center" vertical="center" wrapText="1"/>
      <protection/>
    </xf>
    <xf numFmtId="0" fontId="12" fillId="0" borderId="18" xfId="70" applyNumberFormat="1" applyFont="1" applyFill="1" applyBorder="1" applyAlignment="1" applyProtection="1" quotePrefix="1">
      <alignment horizontal="center" vertical="center" wrapText="1"/>
      <protection/>
    </xf>
    <xf numFmtId="177" fontId="12" fillId="0" borderId="18" xfId="70" applyFont="1" applyFill="1" applyBorder="1" applyAlignment="1" applyProtection="1" quotePrefix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4" fontId="0" fillId="0" borderId="18" xfId="70" applyNumberFormat="1" applyFont="1" applyFill="1" applyBorder="1" applyAlignment="1">
      <alignment horizontal="right" vertical="center"/>
    </xf>
    <xf numFmtId="4" fontId="9" fillId="0" borderId="18" xfId="70" applyNumberFormat="1" applyFont="1" applyFill="1" applyBorder="1" applyAlignment="1" applyProtection="1" quotePrefix="1">
      <alignment horizontal="right" vertical="center" wrapText="1"/>
      <protection/>
    </xf>
    <xf numFmtId="0" fontId="0" fillId="0" borderId="18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center"/>
    </xf>
    <xf numFmtId="4" fontId="0" fillId="0" borderId="18" xfId="73" applyNumberFormat="1" applyFont="1" applyFill="1" applyBorder="1" applyAlignment="1" applyProtection="1">
      <alignment horizontal="right" vertical="center" wrapText="1"/>
      <protection/>
    </xf>
    <xf numFmtId="203" fontId="9" fillId="0" borderId="18" xfId="73" applyNumberFormat="1" applyFont="1" applyFill="1" applyBorder="1" applyAlignment="1" applyProtection="1">
      <alignment horizontal="right" vertical="center" wrapText="1"/>
      <protection/>
    </xf>
    <xf numFmtId="0" fontId="0" fillId="16" borderId="11" xfId="0" applyFont="1" applyFill="1" applyBorder="1" applyAlignment="1">
      <alignment vertical="center" wrapText="1"/>
    </xf>
    <xf numFmtId="4" fontId="0" fillId="16" borderId="11" xfId="0" applyNumberFormat="1" applyFont="1" applyFill="1" applyBorder="1" applyAlignment="1">
      <alignment horizontal="right" vertical="center" wrapText="1"/>
    </xf>
    <xf numFmtId="4" fontId="0" fillId="16" borderId="11" xfId="0" applyNumberFormat="1" applyFont="1" applyFill="1" applyBorder="1" applyAlignment="1">
      <alignment vertical="center" wrapText="1"/>
    </xf>
    <xf numFmtId="4" fontId="0" fillId="16" borderId="13" xfId="0" applyNumberFormat="1" applyFont="1" applyFill="1" applyBorder="1" applyAlignment="1">
      <alignment vertical="center" wrapText="1"/>
    </xf>
    <xf numFmtId="49" fontId="57" fillId="16" borderId="13" xfId="0" applyNumberFormat="1" applyFont="1" applyFill="1" applyBorder="1" applyAlignment="1">
      <alignment horizontal="center" vertical="center" wrapText="1"/>
    </xf>
    <xf numFmtId="203" fontId="0" fillId="16" borderId="10" xfId="7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 wrapText="1"/>
    </xf>
    <xf numFmtId="177" fontId="0" fillId="0" borderId="10" xfId="88" applyFont="1" applyFill="1" applyBorder="1" applyAlignment="1">
      <alignment vertical="center" wrapText="1"/>
    </xf>
    <xf numFmtId="49" fontId="6" fillId="0" borderId="20" xfId="57" applyNumberFormat="1" applyFont="1" applyFill="1" applyBorder="1" applyAlignment="1" applyProtection="1">
      <alignment horizontal="center" vertical="center"/>
      <protection locked="0"/>
    </xf>
    <xf numFmtId="49" fontId="6" fillId="0" borderId="21" xfId="57" applyNumberFormat="1" applyFont="1" applyFill="1" applyBorder="1" applyAlignment="1" applyProtection="1">
      <alignment horizontal="center" vertical="center"/>
      <protection locked="0"/>
    </xf>
    <xf numFmtId="49" fontId="6" fillId="0" borderId="22" xfId="57" applyNumberFormat="1" applyFont="1" applyFill="1" applyBorder="1" applyAlignment="1" applyProtection="1">
      <alignment horizontal="center" vertical="center"/>
      <protection locked="0"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16" borderId="23" xfId="0" applyFont="1" applyFill="1" applyBorder="1" applyAlignment="1">
      <alignment horizontal="left" vertical="center"/>
    </xf>
    <xf numFmtId="0" fontId="7" fillId="16" borderId="16" xfId="0" applyFont="1" applyFill="1" applyBorder="1" applyAlignment="1">
      <alignment horizontal="left" vertical="center"/>
    </xf>
    <xf numFmtId="0" fontId="7" fillId="0" borderId="0" xfId="58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49" fontId="0" fillId="0" borderId="0" xfId="0" applyNumberFormat="1" applyFont="1" applyFill="1" applyBorder="1" applyAlignment="1" applyProtection="1">
      <alignment horizontal="left" wrapText="1"/>
      <protection locked="0"/>
    </xf>
    <xf numFmtId="49" fontId="9" fillId="33" borderId="19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8" applyFont="1" applyFill="1" applyBorder="1" applyAlignment="1">
      <alignment vertical="center" wrapText="1"/>
      <protection/>
    </xf>
    <xf numFmtId="0" fontId="8" fillId="0" borderId="0" xfId="60" applyFont="1" applyBorder="1" applyAlignment="1">
      <alignment vertical="center" wrapText="1"/>
      <protection/>
    </xf>
    <xf numFmtId="0" fontId="7" fillId="0" borderId="21" xfId="58" applyFont="1" applyFill="1" applyBorder="1" applyAlignment="1" applyProtection="1">
      <alignment horizontal="center" vertical="center" wrapText="1"/>
      <protection locked="0"/>
    </xf>
    <xf numFmtId="0" fontId="7" fillId="0" borderId="22" xfId="5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</cellXfs>
  <cellStyles count="7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Moeda 4" xfId="52"/>
    <cellStyle name="Moeda 5" xfId="53"/>
    <cellStyle name="Neutra" xfId="54"/>
    <cellStyle name="Normal 10" xfId="55"/>
    <cellStyle name="Normal 12" xfId="56"/>
    <cellStyle name="Normal 2" xfId="57"/>
    <cellStyle name="Normal 2 2" xfId="58"/>
    <cellStyle name="Normal 2_UPA Tubarão COMPLETA  - Planilha quantitativa  - REV01" xfId="59"/>
    <cellStyle name="Normal 3" xfId="60"/>
    <cellStyle name="Normal 4" xfId="61"/>
    <cellStyle name="Normal_Plan1" xfId="62"/>
    <cellStyle name="Nota" xfId="63"/>
    <cellStyle name="Percent" xfId="64"/>
    <cellStyle name="Porcentagem 2" xfId="65"/>
    <cellStyle name="Porcentagem 3" xfId="66"/>
    <cellStyle name="Porcentagem 4" xfId="67"/>
    <cellStyle name="Saída" xfId="68"/>
    <cellStyle name="Comma [0]" xfId="69"/>
    <cellStyle name="Separador de milhares 2" xfId="70"/>
    <cellStyle name="Separador de milhares 2 2" xfId="71"/>
    <cellStyle name="Separador de milhares 2 3" xfId="72"/>
    <cellStyle name="Separador de milhares 3" xfId="73"/>
    <cellStyle name="Separador de milhares 4" xfId="74"/>
    <cellStyle name="Separador de milhares 5" xfId="75"/>
    <cellStyle name="Separador de milhares 6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2" xfId="86"/>
    <cellStyle name="Vírgula 2 2" xfId="87"/>
    <cellStyle name="Vírgula 3" xfId="88"/>
    <cellStyle name="Vírgula 6" xfId="89"/>
    <cellStyle name="Vírgula 7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1</xdr:row>
      <xdr:rowOff>38100</xdr:rowOff>
    </xdr:from>
    <xdr:to>
      <xdr:col>10</xdr:col>
      <xdr:colOff>304800</xdr:colOff>
      <xdr:row>5</xdr:row>
      <xdr:rowOff>114300</xdr:rowOff>
    </xdr:to>
    <xdr:pic>
      <xdr:nvPicPr>
        <xdr:cNvPr id="1" name="Imagem 3" descr="Resultado de imagem para LOGO FAHECE"/>
        <xdr:cNvPicPr preferRelativeResize="1">
          <a:picLocks noChangeAspect="1"/>
        </xdr:cNvPicPr>
      </xdr:nvPicPr>
      <xdr:blipFill>
        <a:blip r:embed="rId1"/>
        <a:srcRect b="16882"/>
        <a:stretch>
          <a:fillRect/>
        </a:stretch>
      </xdr:blipFill>
      <xdr:spPr>
        <a:xfrm>
          <a:off x="4371975" y="209550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</xdr:row>
      <xdr:rowOff>104775</xdr:rowOff>
    </xdr:from>
    <xdr:to>
      <xdr:col>10</xdr:col>
      <xdr:colOff>942975</xdr:colOff>
      <xdr:row>5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27622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EDIDAS%20INTERNA&#199;&#195;O%20PAV%201(Recuperado%20Automaticamente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2">
        <row r="51">
          <cell r="C51">
            <v>391.93</v>
          </cell>
          <cell r="D51">
            <v>427.12</v>
          </cell>
        </row>
        <row r="82">
          <cell r="C82">
            <v>374.9800000000001</v>
          </cell>
          <cell r="D82">
            <v>434.77</v>
          </cell>
        </row>
        <row r="83">
          <cell r="C83">
            <v>114.35</v>
          </cell>
        </row>
        <row r="84">
          <cell r="D84">
            <v>48.83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M107"/>
  <sheetViews>
    <sheetView tabSelected="1" view="pageBreakPreview" zoomScaleNormal="110" zoomScaleSheetLayoutView="100" workbookViewId="0" topLeftCell="A1">
      <selection activeCell="L62" sqref="L62"/>
    </sheetView>
  </sheetViews>
  <sheetFormatPr defaultColWidth="11.421875" defaultRowHeight="12.75"/>
  <cols>
    <col min="1" max="1" width="7.8515625" style="6" bestFit="1" customWidth="1"/>
    <col min="2" max="2" width="24.28125" style="7" customWidth="1"/>
    <col min="3" max="3" width="16.7109375" style="9" hidden="1" customWidth="1"/>
    <col min="4" max="4" width="16.7109375" style="13" hidden="1" customWidth="1"/>
    <col min="5" max="5" width="16.7109375" style="9" hidden="1" customWidth="1"/>
    <col min="6" max="6" width="6.00390625" style="8" bestFit="1" customWidth="1"/>
    <col min="7" max="7" width="8.140625" style="40" bestFit="1" customWidth="1"/>
    <col min="8" max="8" width="11.28125" style="19" customWidth="1"/>
    <col min="9" max="9" width="10.140625" style="23" customWidth="1"/>
    <col min="10" max="10" width="6.28125" style="18" customWidth="1"/>
    <col min="11" max="11" width="14.8515625" style="16" customWidth="1"/>
    <col min="12" max="12" width="15.00390625" style="4" customWidth="1"/>
    <col min="13" max="13" width="11.421875" style="4" customWidth="1"/>
    <col min="14" max="14" width="12.140625" style="4" bestFit="1" customWidth="1"/>
    <col min="15" max="18" width="11.421875" style="4" customWidth="1"/>
    <col min="19" max="19" width="14.28125" style="4" customWidth="1"/>
    <col min="20" max="20" width="17.00390625" style="4" customWidth="1"/>
    <col min="21" max="65" width="11.421875" style="4" customWidth="1"/>
    <col min="66" max="16384" width="11.421875" style="5" customWidth="1"/>
  </cols>
  <sheetData>
    <row r="1" spans="1:11" s="1" customFormat="1" ht="13.5">
      <c r="A1" s="55" t="s">
        <v>2</v>
      </c>
      <c r="B1" s="133" t="s">
        <v>44</v>
      </c>
      <c r="C1" s="133"/>
      <c r="D1" s="133"/>
      <c r="E1" s="133"/>
      <c r="F1" s="133"/>
      <c r="G1" s="133"/>
      <c r="H1" s="133"/>
      <c r="I1" s="133"/>
      <c r="J1" s="133"/>
      <c r="K1" s="134"/>
    </row>
    <row r="2" spans="1:11" s="1" customFormat="1" ht="15">
      <c r="A2" s="32"/>
      <c r="B2" s="127"/>
      <c r="C2" s="2"/>
      <c r="D2" s="12"/>
      <c r="E2" s="2"/>
      <c r="F2" s="3"/>
      <c r="G2" s="37"/>
      <c r="H2" s="14"/>
      <c r="I2" s="22"/>
      <c r="J2" s="17"/>
      <c r="K2" s="31"/>
    </row>
    <row r="3" spans="1:11" s="1" customFormat="1" ht="12.75">
      <c r="A3" s="33" t="s">
        <v>3</v>
      </c>
      <c r="B3" s="135" t="s">
        <v>38</v>
      </c>
      <c r="C3" s="135"/>
      <c r="D3" s="135"/>
      <c r="E3" s="135"/>
      <c r="F3" s="135"/>
      <c r="G3" s="135"/>
      <c r="H3" s="135"/>
      <c r="I3" s="22"/>
      <c r="J3" s="17"/>
      <c r="K3" s="31"/>
    </row>
    <row r="4" spans="1:11" s="1" customFormat="1" ht="12.75">
      <c r="A4" s="34"/>
      <c r="B4" s="135" t="s">
        <v>17</v>
      </c>
      <c r="C4" s="135"/>
      <c r="D4" s="135"/>
      <c r="E4" s="135"/>
      <c r="F4" s="135"/>
      <c r="G4" s="135"/>
      <c r="H4" s="135"/>
      <c r="I4" s="22"/>
      <c r="J4" s="17"/>
      <c r="K4" s="31"/>
    </row>
    <row r="5" spans="1:11" s="1" customFormat="1" ht="12.75">
      <c r="A5" s="34"/>
      <c r="B5" s="128"/>
      <c r="C5" s="2"/>
      <c r="D5" s="12"/>
      <c r="E5" s="2"/>
      <c r="F5" s="3"/>
      <c r="G5" s="37"/>
      <c r="H5" s="14"/>
      <c r="I5" s="22"/>
      <c r="J5" s="17"/>
      <c r="K5" s="31"/>
    </row>
    <row r="6" spans="1:11" s="1" customFormat="1" ht="12.75">
      <c r="A6" s="33" t="s">
        <v>4</v>
      </c>
      <c r="B6" s="129" t="s">
        <v>181</v>
      </c>
      <c r="C6" s="2"/>
      <c r="D6" s="12"/>
      <c r="E6" s="2"/>
      <c r="F6" s="3"/>
      <c r="G6" s="37"/>
      <c r="H6" s="14"/>
      <c r="I6" s="22"/>
      <c r="J6" s="17"/>
      <c r="K6" s="31"/>
    </row>
    <row r="7" spans="1:11" s="1" customFormat="1" ht="15">
      <c r="A7" s="119" t="s">
        <v>44</v>
      </c>
      <c r="B7" s="120"/>
      <c r="C7" s="120"/>
      <c r="D7" s="120"/>
      <c r="E7" s="120"/>
      <c r="F7" s="120"/>
      <c r="G7" s="120"/>
      <c r="H7" s="120"/>
      <c r="I7" s="120"/>
      <c r="J7" s="120"/>
      <c r="K7" s="121"/>
    </row>
    <row r="8" spans="1:11" s="1" customFormat="1" ht="15" customHeight="1">
      <c r="A8" s="122" t="s">
        <v>43</v>
      </c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ht="26.25">
      <c r="A9" s="48" t="s">
        <v>0</v>
      </c>
      <c r="B9" s="130" t="s">
        <v>1</v>
      </c>
      <c r="C9" s="49" t="s">
        <v>32</v>
      </c>
      <c r="D9" s="50" t="s">
        <v>41</v>
      </c>
      <c r="E9" s="51" t="s">
        <v>39</v>
      </c>
      <c r="F9" s="48" t="s">
        <v>34</v>
      </c>
      <c r="G9" s="52" t="s">
        <v>35</v>
      </c>
      <c r="H9" s="51" t="s">
        <v>183</v>
      </c>
      <c r="I9" s="53" t="s">
        <v>36</v>
      </c>
      <c r="J9" s="51" t="s">
        <v>42</v>
      </c>
      <c r="K9" s="54" t="s">
        <v>37</v>
      </c>
    </row>
    <row r="10" spans="1:65" s="11" customFormat="1" ht="26.25">
      <c r="A10" s="20" t="s">
        <v>18</v>
      </c>
      <c r="B10" s="28" t="s">
        <v>29</v>
      </c>
      <c r="C10" s="29"/>
      <c r="D10" s="29"/>
      <c r="E10" s="29"/>
      <c r="F10" s="29"/>
      <c r="G10" s="38"/>
      <c r="H10" s="29"/>
      <c r="I10" s="30"/>
      <c r="J10" s="45"/>
      <c r="K10" s="21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11" ht="39">
      <c r="A11" s="56" t="s">
        <v>5</v>
      </c>
      <c r="B11" s="57" t="s">
        <v>143</v>
      </c>
      <c r="C11" s="58"/>
      <c r="D11" s="59"/>
      <c r="E11" s="60"/>
      <c r="F11" s="56" t="s">
        <v>144</v>
      </c>
      <c r="G11" s="61">
        <v>1</v>
      </c>
      <c r="H11" s="62"/>
      <c r="I11" s="61">
        <f>H11*G11</f>
        <v>0</v>
      </c>
      <c r="J11" s="63" t="s">
        <v>182</v>
      </c>
      <c r="K11" s="62">
        <f>I11*(1+J11)</f>
        <v>0</v>
      </c>
    </row>
    <row r="12" spans="1:11" ht="12.75">
      <c r="A12" s="56" t="s">
        <v>6</v>
      </c>
      <c r="B12" s="57" t="s">
        <v>89</v>
      </c>
      <c r="C12" s="58"/>
      <c r="D12" s="59"/>
      <c r="E12" s="60"/>
      <c r="F12" s="56" t="s">
        <v>144</v>
      </c>
      <c r="G12" s="61">
        <v>1</v>
      </c>
      <c r="H12" s="62"/>
      <c r="I12" s="61"/>
      <c r="J12" s="63" t="s">
        <v>182</v>
      </c>
      <c r="K12" s="62">
        <f aca="true" t="shared" si="0" ref="K12:K19">I12*(1+J12)</f>
        <v>0</v>
      </c>
    </row>
    <row r="13" spans="1:11" ht="52.5">
      <c r="A13" s="56" t="s">
        <v>7</v>
      </c>
      <c r="B13" s="57" t="s">
        <v>187</v>
      </c>
      <c r="C13" s="58" t="s">
        <v>33</v>
      </c>
      <c r="D13" s="59">
        <v>98458</v>
      </c>
      <c r="E13" s="60"/>
      <c r="F13" s="56" t="s">
        <v>31</v>
      </c>
      <c r="G13" s="61">
        <f>(1.61+3.29+8.2)*4</f>
        <v>52.4</v>
      </c>
      <c r="H13" s="62"/>
      <c r="I13" s="61">
        <f aca="true" t="shared" si="1" ref="I13:I19">H13*G13</f>
        <v>0</v>
      </c>
      <c r="J13" s="63" t="s">
        <v>182</v>
      </c>
      <c r="K13" s="62">
        <f t="shared" si="0"/>
        <v>0</v>
      </c>
    </row>
    <row r="14" spans="1:12" ht="39">
      <c r="A14" s="56" t="s">
        <v>8</v>
      </c>
      <c r="B14" s="57" t="s">
        <v>178</v>
      </c>
      <c r="C14" s="58"/>
      <c r="D14" s="59"/>
      <c r="E14" s="60"/>
      <c r="F14" s="56" t="s">
        <v>144</v>
      </c>
      <c r="G14" s="61">
        <f>11*20+(60)</f>
        <v>280</v>
      </c>
      <c r="H14" s="62"/>
      <c r="I14" s="61">
        <f t="shared" si="1"/>
        <v>0</v>
      </c>
      <c r="J14" s="63" t="s">
        <v>182</v>
      </c>
      <c r="K14" s="62">
        <f t="shared" si="0"/>
        <v>0</v>
      </c>
      <c r="L14" s="15"/>
    </row>
    <row r="15" spans="1:12" ht="66">
      <c r="A15" s="56" t="s">
        <v>45</v>
      </c>
      <c r="B15" s="57" t="s">
        <v>87</v>
      </c>
      <c r="C15" s="58"/>
      <c r="D15" s="59"/>
      <c r="E15" s="60"/>
      <c r="F15" s="56" t="s">
        <v>144</v>
      </c>
      <c r="G15" s="61">
        <v>4</v>
      </c>
      <c r="H15" s="62"/>
      <c r="I15" s="61">
        <f t="shared" si="1"/>
        <v>0</v>
      </c>
      <c r="J15" s="63" t="s">
        <v>182</v>
      </c>
      <c r="K15" s="62">
        <f t="shared" si="0"/>
        <v>0</v>
      </c>
      <c r="L15" s="15"/>
    </row>
    <row r="16" spans="1:12" ht="52.5">
      <c r="A16" s="56" t="s">
        <v>46</v>
      </c>
      <c r="B16" s="57" t="s">
        <v>99</v>
      </c>
      <c r="C16" s="58"/>
      <c r="D16" s="59"/>
      <c r="E16" s="60"/>
      <c r="F16" s="56" t="s">
        <v>64</v>
      </c>
      <c r="G16" s="61">
        <f>7.1+3.7</f>
        <v>10.8</v>
      </c>
      <c r="H16" s="62"/>
      <c r="I16" s="61">
        <f t="shared" si="1"/>
        <v>0</v>
      </c>
      <c r="J16" s="63" t="s">
        <v>182</v>
      </c>
      <c r="K16" s="62">
        <f t="shared" si="0"/>
        <v>0</v>
      </c>
      <c r="L16" s="15"/>
    </row>
    <row r="17" spans="1:12" ht="39">
      <c r="A17" s="56" t="s">
        <v>79</v>
      </c>
      <c r="B17" s="57" t="s">
        <v>69</v>
      </c>
      <c r="C17" s="58"/>
      <c r="D17" s="59"/>
      <c r="E17" s="60"/>
      <c r="F17" s="56" t="s">
        <v>144</v>
      </c>
      <c r="G17" s="61">
        <v>24</v>
      </c>
      <c r="H17" s="62"/>
      <c r="I17" s="61">
        <f t="shared" si="1"/>
        <v>0</v>
      </c>
      <c r="J17" s="63" t="s">
        <v>182</v>
      </c>
      <c r="K17" s="62">
        <f t="shared" si="0"/>
        <v>0</v>
      </c>
      <c r="L17" s="15"/>
    </row>
    <row r="18" spans="1:12" ht="26.25">
      <c r="A18" s="56" t="s">
        <v>95</v>
      </c>
      <c r="B18" s="57" t="s">
        <v>94</v>
      </c>
      <c r="C18" s="58"/>
      <c r="D18" s="59"/>
      <c r="E18" s="60"/>
      <c r="F18" s="56" t="s">
        <v>64</v>
      </c>
      <c r="G18" s="61">
        <v>110</v>
      </c>
      <c r="H18" s="62"/>
      <c r="I18" s="61">
        <f t="shared" si="1"/>
        <v>0</v>
      </c>
      <c r="J18" s="63" t="s">
        <v>182</v>
      </c>
      <c r="K18" s="62">
        <f t="shared" si="0"/>
        <v>0</v>
      </c>
      <c r="L18" s="15"/>
    </row>
    <row r="19" spans="1:12" ht="237">
      <c r="A19" s="56" t="s">
        <v>112</v>
      </c>
      <c r="B19" s="57" t="s">
        <v>137</v>
      </c>
      <c r="C19" s="58"/>
      <c r="D19" s="59"/>
      <c r="E19" s="60"/>
      <c r="F19" s="56" t="s">
        <v>100</v>
      </c>
      <c r="G19" s="61">
        <v>1</v>
      </c>
      <c r="H19" s="62"/>
      <c r="I19" s="61">
        <f t="shared" si="1"/>
        <v>0</v>
      </c>
      <c r="J19" s="63" t="s">
        <v>182</v>
      </c>
      <c r="K19" s="62">
        <f t="shared" si="0"/>
        <v>0</v>
      </c>
      <c r="L19" s="15"/>
    </row>
    <row r="20" spans="1:65" ht="12.75">
      <c r="A20" s="64"/>
      <c r="B20" s="65"/>
      <c r="C20" s="58"/>
      <c r="D20" s="59"/>
      <c r="E20" s="58"/>
      <c r="F20" s="56"/>
      <c r="G20" s="61"/>
      <c r="H20" s="62"/>
      <c r="I20" s="61"/>
      <c r="J20" s="44"/>
      <c r="K20" s="6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</row>
    <row r="21" spans="1:65" ht="26.25">
      <c r="A21" s="20" t="s">
        <v>22</v>
      </c>
      <c r="B21" s="28" t="s">
        <v>74</v>
      </c>
      <c r="C21" s="29"/>
      <c r="D21" s="29"/>
      <c r="E21" s="29"/>
      <c r="F21" s="29"/>
      <c r="G21" s="38"/>
      <c r="H21" s="42"/>
      <c r="I21" s="43"/>
      <c r="J21" s="45"/>
      <c r="K21" s="21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1:65" ht="39">
      <c r="A22" s="64" t="s">
        <v>12</v>
      </c>
      <c r="B22" s="81" t="s">
        <v>72</v>
      </c>
      <c r="C22" s="58"/>
      <c r="D22" s="59"/>
      <c r="E22" s="60"/>
      <c r="F22" s="56" t="s">
        <v>31</v>
      </c>
      <c r="G22" s="61">
        <f>'[1]Plan3'!$C$83</f>
        <v>114.35</v>
      </c>
      <c r="H22" s="62"/>
      <c r="I22" s="61">
        <f aca="true" t="shared" si="2" ref="I22:I28">H22*G22</f>
        <v>0</v>
      </c>
      <c r="J22" s="63" t="s">
        <v>182</v>
      </c>
      <c r="K22" s="62">
        <f aca="true" t="shared" si="3" ref="K22:K28">I22*(1+J22)</f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1:65" ht="26.25">
      <c r="A23" s="64" t="s">
        <v>13</v>
      </c>
      <c r="B23" s="81" t="s">
        <v>73</v>
      </c>
      <c r="C23" s="58"/>
      <c r="D23" s="59"/>
      <c r="E23" s="60"/>
      <c r="F23" s="56" t="s">
        <v>64</v>
      </c>
      <c r="G23" s="61">
        <f>'[1]Plan3'!$D$84</f>
        <v>48.83</v>
      </c>
      <c r="H23" s="62"/>
      <c r="I23" s="61">
        <f t="shared" si="2"/>
        <v>0</v>
      </c>
      <c r="J23" s="63" t="s">
        <v>182</v>
      </c>
      <c r="K23" s="62">
        <f t="shared" si="3"/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</row>
    <row r="24" spans="1:65" ht="39">
      <c r="A24" s="64" t="s">
        <v>40</v>
      </c>
      <c r="B24" s="131" t="s">
        <v>71</v>
      </c>
      <c r="C24" s="58"/>
      <c r="D24" s="59"/>
      <c r="E24" s="60"/>
      <c r="F24" s="56" t="s">
        <v>31</v>
      </c>
      <c r="G24" s="61">
        <f>'[1]Plan3'!$C$51+'[1]Plan3'!$C$82-'[1]Plan3'!$C$83</f>
        <v>652.5600000000001</v>
      </c>
      <c r="H24" s="62"/>
      <c r="I24" s="61">
        <f t="shared" si="2"/>
        <v>0</v>
      </c>
      <c r="J24" s="63" t="s">
        <v>182</v>
      </c>
      <c r="K24" s="62">
        <f t="shared" si="3"/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</row>
    <row r="25" spans="1:65" ht="52.5">
      <c r="A25" s="64" t="s">
        <v>70</v>
      </c>
      <c r="B25" s="131" t="s">
        <v>145</v>
      </c>
      <c r="C25" s="58"/>
      <c r="D25" s="59"/>
      <c r="E25" s="60"/>
      <c r="F25" s="56" t="s">
        <v>30</v>
      </c>
      <c r="G25" s="61">
        <f>(G22+G24)*0.09</f>
        <v>69.0219</v>
      </c>
      <c r="H25" s="62"/>
      <c r="I25" s="61">
        <f t="shared" si="2"/>
        <v>0</v>
      </c>
      <c r="J25" s="63" t="s">
        <v>182</v>
      </c>
      <c r="K25" s="62">
        <f t="shared" si="3"/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5" ht="39">
      <c r="A26" s="64" t="s">
        <v>90</v>
      </c>
      <c r="B26" s="65" t="s">
        <v>91</v>
      </c>
      <c r="C26" s="58"/>
      <c r="D26" s="59"/>
      <c r="E26" s="67"/>
      <c r="F26" s="56" t="s">
        <v>64</v>
      </c>
      <c r="G26" s="61">
        <f>G39</f>
        <v>83.78</v>
      </c>
      <c r="H26" s="62"/>
      <c r="I26" s="61">
        <f t="shared" si="2"/>
        <v>0</v>
      </c>
      <c r="J26" s="63" t="s">
        <v>182</v>
      </c>
      <c r="K26" s="62">
        <f t="shared" si="3"/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ht="52.5">
      <c r="A27" s="64" t="s">
        <v>93</v>
      </c>
      <c r="B27" s="65" t="s">
        <v>147</v>
      </c>
      <c r="C27" s="58"/>
      <c r="D27" s="59"/>
      <c r="E27" s="58"/>
      <c r="F27" s="56" t="s">
        <v>144</v>
      </c>
      <c r="G27" s="61">
        <v>10</v>
      </c>
      <c r="H27" s="62"/>
      <c r="I27" s="61">
        <f t="shared" si="2"/>
        <v>0</v>
      </c>
      <c r="J27" s="63" t="s">
        <v>182</v>
      </c>
      <c r="K27" s="62">
        <f t="shared" si="3"/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5" ht="26.25">
      <c r="A28" s="64" t="s">
        <v>101</v>
      </c>
      <c r="B28" s="65" t="s">
        <v>146</v>
      </c>
      <c r="C28" s="58"/>
      <c r="D28" s="59"/>
      <c r="E28" s="58"/>
      <c r="F28" s="56" t="s">
        <v>31</v>
      </c>
      <c r="G28" s="61">
        <f>(1.9*18)+(2*2)</f>
        <v>38.199999999999996</v>
      </c>
      <c r="H28" s="62"/>
      <c r="I28" s="61">
        <f t="shared" si="2"/>
        <v>0</v>
      </c>
      <c r="J28" s="63" t="s">
        <v>182</v>
      </c>
      <c r="K28" s="62">
        <f t="shared" si="3"/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5" ht="12.75">
      <c r="A29" s="64"/>
      <c r="B29" s="65"/>
      <c r="C29" s="58"/>
      <c r="D29" s="59"/>
      <c r="E29" s="58"/>
      <c r="F29" s="56"/>
      <c r="G29" s="61"/>
      <c r="H29" s="62"/>
      <c r="I29" s="61"/>
      <c r="J29" s="46"/>
      <c r="K29" s="6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ht="26.25">
      <c r="A30" s="20">
        <v>3</v>
      </c>
      <c r="B30" s="28" t="s">
        <v>19</v>
      </c>
      <c r="C30" s="109"/>
      <c r="D30" s="109"/>
      <c r="E30" s="109"/>
      <c r="F30" s="109"/>
      <c r="G30" s="110"/>
      <c r="H30" s="111"/>
      <c r="I30" s="112"/>
      <c r="J30" s="113"/>
      <c r="K30" s="11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5" ht="39">
      <c r="A31" s="56" t="s">
        <v>113</v>
      </c>
      <c r="B31" s="76" t="s">
        <v>185</v>
      </c>
      <c r="C31" s="115"/>
      <c r="D31" s="115"/>
      <c r="E31" s="115"/>
      <c r="F31" s="89" t="s">
        <v>186</v>
      </c>
      <c r="G31" s="116">
        <v>766.91</v>
      </c>
      <c r="H31" s="117"/>
      <c r="I31" s="61">
        <f>H31*G31</f>
        <v>0</v>
      </c>
      <c r="J31" s="63" t="s">
        <v>182</v>
      </c>
      <c r="K31" s="62">
        <f>I31*(1+J31)</f>
        <v>0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ht="66">
      <c r="A32" s="56" t="s">
        <v>115</v>
      </c>
      <c r="B32" s="68" t="s">
        <v>188</v>
      </c>
      <c r="C32" s="58"/>
      <c r="D32" s="69"/>
      <c r="E32" s="60"/>
      <c r="F32" s="56" t="s">
        <v>31</v>
      </c>
      <c r="G32" s="70">
        <f>(G22+G24)</f>
        <v>766.9100000000001</v>
      </c>
      <c r="H32" s="62"/>
      <c r="I32" s="61">
        <f>H32*G32</f>
        <v>0</v>
      </c>
      <c r="J32" s="63" t="s">
        <v>182</v>
      </c>
      <c r="K32" s="62">
        <f>I32*(1+J32)</f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65" ht="78.75">
      <c r="A33" s="56" t="s">
        <v>114</v>
      </c>
      <c r="B33" s="68" t="s">
        <v>189</v>
      </c>
      <c r="C33" s="58"/>
      <c r="D33" s="69"/>
      <c r="E33" s="60"/>
      <c r="F33" s="56" t="s">
        <v>31</v>
      </c>
      <c r="G33" s="70">
        <f>G22+G24</f>
        <v>766.9100000000001</v>
      </c>
      <c r="H33" s="62"/>
      <c r="I33" s="61">
        <f>H33*G33</f>
        <v>0</v>
      </c>
      <c r="J33" s="63" t="s">
        <v>182</v>
      </c>
      <c r="K33" s="62">
        <f>I33*(1+J33)</f>
        <v>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</row>
    <row r="34" spans="1:65" ht="26.25">
      <c r="A34" s="56" t="s">
        <v>116</v>
      </c>
      <c r="B34" s="68" t="s">
        <v>102</v>
      </c>
      <c r="C34" s="58"/>
      <c r="D34" s="69"/>
      <c r="E34" s="60"/>
      <c r="F34" s="56" t="s">
        <v>64</v>
      </c>
      <c r="G34" s="70">
        <f>'[1]Plan3'!$D$82+'[1]Plan3'!$D$51+((2.5*2)+(4.78*2))</f>
        <v>876.4499999999999</v>
      </c>
      <c r="H34" s="62"/>
      <c r="I34" s="61">
        <f>H34*G34</f>
        <v>0</v>
      </c>
      <c r="J34" s="63" t="s">
        <v>182</v>
      </c>
      <c r="K34" s="62">
        <f>I34*(1+J34)</f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</row>
    <row r="35" spans="1:65" ht="39">
      <c r="A35" s="56" t="s">
        <v>184</v>
      </c>
      <c r="B35" s="68" t="s">
        <v>75</v>
      </c>
      <c r="C35" s="58"/>
      <c r="D35" s="69"/>
      <c r="E35" s="60"/>
      <c r="F35" s="56" t="s">
        <v>31</v>
      </c>
      <c r="G35" s="70">
        <f>G32</f>
        <v>766.9100000000001</v>
      </c>
      <c r="H35" s="62"/>
      <c r="I35" s="61">
        <f>H35*G35</f>
        <v>0</v>
      </c>
      <c r="J35" s="63" t="s">
        <v>182</v>
      </c>
      <c r="K35" s="62">
        <f>I35*(1+J35)</f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</row>
    <row r="36" spans="1:65" ht="12.75">
      <c r="A36" s="56"/>
      <c r="B36" s="71"/>
      <c r="C36" s="72"/>
      <c r="D36" s="73"/>
      <c r="E36" s="72"/>
      <c r="F36" s="74"/>
      <c r="G36" s="75"/>
      <c r="H36" s="62"/>
      <c r="I36" s="61"/>
      <c r="J36" s="44"/>
      <c r="K36" s="6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spans="1:65" ht="26.25">
      <c r="A37" s="20">
        <v>4</v>
      </c>
      <c r="B37" s="28" t="s">
        <v>20</v>
      </c>
      <c r="C37" s="29"/>
      <c r="D37" s="29"/>
      <c r="E37" s="29"/>
      <c r="F37" s="29"/>
      <c r="G37" s="38"/>
      <c r="H37" s="42"/>
      <c r="I37" s="43"/>
      <c r="J37" s="45"/>
      <c r="K37" s="2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</row>
    <row r="38" spans="1:65" ht="52.5">
      <c r="A38" s="56" t="s">
        <v>9</v>
      </c>
      <c r="B38" s="68" t="s">
        <v>50</v>
      </c>
      <c r="C38" s="58" t="s">
        <v>33</v>
      </c>
      <c r="D38" s="69">
        <v>74190</v>
      </c>
      <c r="E38" s="60"/>
      <c r="F38" s="56" t="s">
        <v>31</v>
      </c>
      <c r="G38" s="75">
        <f>G22</f>
        <v>114.35</v>
      </c>
      <c r="H38" s="62"/>
      <c r="I38" s="61">
        <f>H38*G38</f>
        <v>0</v>
      </c>
      <c r="J38" s="63" t="s">
        <v>182</v>
      </c>
      <c r="K38" s="62">
        <f>I38*(1+J38)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</row>
    <row r="39" spans="1:65" ht="39">
      <c r="A39" s="56" t="s">
        <v>10</v>
      </c>
      <c r="B39" s="76" t="s">
        <v>148</v>
      </c>
      <c r="C39" s="68"/>
      <c r="D39" s="60"/>
      <c r="E39" s="69"/>
      <c r="F39" s="58" t="s">
        <v>64</v>
      </c>
      <c r="G39" s="70">
        <f>53.15+19.2+11.43</f>
        <v>83.78</v>
      </c>
      <c r="H39" s="77"/>
      <c r="I39" s="61">
        <f>H39*G39</f>
        <v>0</v>
      </c>
      <c r="J39" s="63" t="s">
        <v>182</v>
      </c>
      <c r="K39" s="62">
        <f>I39*(1+J39)</f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</row>
    <row r="40" spans="1:65" ht="66">
      <c r="A40" s="56" t="s">
        <v>150</v>
      </c>
      <c r="B40" s="76" t="s">
        <v>53</v>
      </c>
      <c r="C40" s="68"/>
      <c r="D40" s="60"/>
      <c r="E40" s="69"/>
      <c r="F40" s="58" t="s">
        <v>64</v>
      </c>
      <c r="G40" s="70">
        <f>G39</f>
        <v>83.78</v>
      </c>
      <c r="H40" s="77"/>
      <c r="I40" s="61">
        <f>H40*G40</f>
        <v>0</v>
      </c>
      <c r="J40" s="63" t="s">
        <v>182</v>
      </c>
      <c r="K40" s="62">
        <f>I40*(1+J40)</f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</row>
    <row r="41" spans="1:65" ht="52.5">
      <c r="A41" s="56" t="s">
        <v>11</v>
      </c>
      <c r="B41" s="76" t="s">
        <v>149</v>
      </c>
      <c r="C41" s="68"/>
      <c r="D41" s="60"/>
      <c r="E41" s="69"/>
      <c r="F41" s="56" t="s">
        <v>144</v>
      </c>
      <c r="G41" s="70">
        <v>48</v>
      </c>
      <c r="H41" s="77"/>
      <c r="I41" s="61">
        <f>H41*G41</f>
        <v>0</v>
      </c>
      <c r="J41" s="63" t="s">
        <v>182</v>
      </c>
      <c r="K41" s="62">
        <f>I41*(1+J41)</f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</row>
    <row r="42" spans="1:65" ht="12.75">
      <c r="A42" s="56"/>
      <c r="B42" s="76"/>
      <c r="C42" s="68"/>
      <c r="D42" s="60"/>
      <c r="E42" s="69"/>
      <c r="F42" s="60"/>
      <c r="G42" s="70"/>
      <c r="H42" s="77"/>
      <c r="I42" s="61"/>
      <c r="J42" s="44"/>
      <c r="K42" s="6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</row>
    <row r="43" spans="1:65" ht="26.25">
      <c r="A43" s="20" t="s">
        <v>23</v>
      </c>
      <c r="B43" s="28" t="s">
        <v>56</v>
      </c>
      <c r="C43" s="29"/>
      <c r="D43" s="29"/>
      <c r="E43" s="29"/>
      <c r="F43" s="29"/>
      <c r="G43" s="38"/>
      <c r="H43" s="42"/>
      <c r="I43" s="43"/>
      <c r="J43" s="45"/>
      <c r="K43" s="2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</row>
    <row r="44" spans="1:65" ht="39">
      <c r="A44" s="56" t="s">
        <v>14</v>
      </c>
      <c r="B44" s="68" t="s">
        <v>151</v>
      </c>
      <c r="C44" s="58"/>
      <c r="D44" s="69"/>
      <c r="E44" s="60"/>
      <c r="F44" s="56" t="s">
        <v>144</v>
      </c>
      <c r="G44" s="75">
        <v>24</v>
      </c>
      <c r="H44" s="62"/>
      <c r="I44" s="61">
        <f aca="true" t="shared" si="4" ref="I44:I51">H44*G44</f>
        <v>0</v>
      </c>
      <c r="J44" s="63" t="s">
        <v>182</v>
      </c>
      <c r="K44" s="62">
        <f aca="true" t="shared" si="5" ref="K44:K53">I44*(1+J44)</f>
        <v>0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</row>
    <row r="45" spans="1:65" ht="39">
      <c r="A45" s="56" t="s">
        <v>47</v>
      </c>
      <c r="B45" s="68" t="s">
        <v>152</v>
      </c>
      <c r="C45" s="58"/>
      <c r="D45" s="69"/>
      <c r="E45" s="60"/>
      <c r="F45" s="56" t="s">
        <v>144</v>
      </c>
      <c r="G45" s="75">
        <v>24</v>
      </c>
      <c r="H45" s="62"/>
      <c r="I45" s="61">
        <f t="shared" si="4"/>
        <v>0</v>
      </c>
      <c r="J45" s="63" t="s">
        <v>182</v>
      </c>
      <c r="K45" s="62">
        <f t="shared" si="5"/>
        <v>0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</row>
    <row r="46" spans="1:65" ht="26.25">
      <c r="A46" s="56" t="s">
        <v>48</v>
      </c>
      <c r="B46" s="68" t="s">
        <v>153</v>
      </c>
      <c r="C46" s="58"/>
      <c r="D46" s="69"/>
      <c r="E46" s="60"/>
      <c r="F46" s="56" t="s">
        <v>144</v>
      </c>
      <c r="G46" s="75">
        <v>24</v>
      </c>
      <c r="H46" s="62"/>
      <c r="I46" s="61">
        <f t="shared" si="4"/>
        <v>0</v>
      </c>
      <c r="J46" s="63" t="s">
        <v>182</v>
      </c>
      <c r="K46" s="62">
        <f t="shared" si="5"/>
        <v>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</row>
    <row r="47" spans="1:65" ht="52.5">
      <c r="A47" s="56" t="s">
        <v>49</v>
      </c>
      <c r="B47" s="68" t="s">
        <v>154</v>
      </c>
      <c r="C47" s="58"/>
      <c r="D47" s="69"/>
      <c r="E47" s="60"/>
      <c r="F47" s="56" t="s">
        <v>144</v>
      </c>
      <c r="G47" s="75">
        <v>24</v>
      </c>
      <c r="H47" s="62"/>
      <c r="I47" s="61"/>
      <c r="J47" s="63" t="s">
        <v>182</v>
      </c>
      <c r="K47" s="62">
        <f t="shared" si="5"/>
        <v>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</row>
    <row r="48" spans="1:65" ht="66">
      <c r="A48" s="56" t="s">
        <v>61</v>
      </c>
      <c r="B48" s="68" t="s">
        <v>155</v>
      </c>
      <c r="C48" s="58"/>
      <c r="D48" s="69"/>
      <c r="E48" s="60"/>
      <c r="F48" s="56" t="s">
        <v>144</v>
      </c>
      <c r="G48" s="75">
        <v>20</v>
      </c>
      <c r="H48" s="62"/>
      <c r="I48" s="61">
        <f t="shared" si="4"/>
        <v>0</v>
      </c>
      <c r="J48" s="63" t="s">
        <v>182</v>
      </c>
      <c r="K48" s="62">
        <f t="shared" si="5"/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</row>
    <row r="49" spans="1:65" ht="26.25">
      <c r="A49" s="56" t="s">
        <v>62</v>
      </c>
      <c r="B49" s="68" t="s">
        <v>156</v>
      </c>
      <c r="C49" s="58"/>
      <c r="D49" s="69"/>
      <c r="E49" s="60"/>
      <c r="F49" s="56" t="s">
        <v>64</v>
      </c>
      <c r="G49" s="75">
        <f>1.5*20</f>
        <v>30</v>
      </c>
      <c r="H49" s="62"/>
      <c r="I49" s="61">
        <f t="shared" si="4"/>
        <v>0</v>
      </c>
      <c r="J49" s="63" t="s">
        <v>182</v>
      </c>
      <c r="K49" s="62">
        <f t="shared" si="5"/>
        <v>0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</row>
    <row r="50" spans="1:65" ht="26.25">
      <c r="A50" s="56" t="s">
        <v>63</v>
      </c>
      <c r="B50" s="68" t="s">
        <v>157</v>
      </c>
      <c r="C50" s="58"/>
      <c r="D50" s="69"/>
      <c r="E50" s="60"/>
      <c r="F50" s="56" t="s">
        <v>144</v>
      </c>
      <c r="G50" s="75">
        <f>2*20</f>
        <v>40</v>
      </c>
      <c r="H50" s="62"/>
      <c r="I50" s="61">
        <f t="shared" si="4"/>
        <v>0</v>
      </c>
      <c r="J50" s="63" t="s">
        <v>182</v>
      </c>
      <c r="K50" s="62">
        <f t="shared" si="5"/>
        <v>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</row>
    <row r="51" spans="1:65" ht="26.25">
      <c r="A51" s="56" t="s">
        <v>76</v>
      </c>
      <c r="B51" s="68" t="s">
        <v>158</v>
      </c>
      <c r="C51" s="58"/>
      <c r="D51" s="69"/>
      <c r="E51" s="60"/>
      <c r="F51" s="56" t="s">
        <v>144</v>
      </c>
      <c r="G51" s="75">
        <f>2*20</f>
        <v>40</v>
      </c>
      <c r="H51" s="62"/>
      <c r="I51" s="61">
        <f t="shared" si="4"/>
        <v>0</v>
      </c>
      <c r="J51" s="63" t="s">
        <v>182</v>
      </c>
      <c r="K51" s="62">
        <f t="shared" si="5"/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</row>
    <row r="52" spans="1:65" ht="39">
      <c r="A52" s="56" t="s">
        <v>88</v>
      </c>
      <c r="B52" s="68" t="s">
        <v>159</v>
      </c>
      <c r="C52" s="58"/>
      <c r="D52" s="69"/>
      <c r="E52" s="60"/>
      <c r="F52" s="56" t="s">
        <v>144</v>
      </c>
      <c r="G52" s="75">
        <v>24</v>
      </c>
      <c r="H52" s="62"/>
      <c r="I52" s="61">
        <f>H52*G52</f>
        <v>0</v>
      </c>
      <c r="J52" s="63" t="s">
        <v>182</v>
      </c>
      <c r="K52" s="62">
        <f t="shared" si="5"/>
        <v>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</row>
    <row r="53" spans="1:65" ht="39">
      <c r="A53" s="56" t="s">
        <v>117</v>
      </c>
      <c r="B53" s="78" t="s">
        <v>160</v>
      </c>
      <c r="C53" s="79"/>
      <c r="D53" s="80"/>
      <c r="E53" s="79"/>
      <c r="F53" s="56" t="s">
        <v>144</v>
      </c>
      <c r="G53" s="75">
        <v>24</v>
      </c>
      <c r="H53" s="62"/>
      <c r="I53" s="61">
        <f>H53*G53</f>
        <v>0</v>
      </c>
      <c r="J53" s="63" t="s">
        <v>182</v>
      </c>
      <c r="K53" s="62">
        <f t="shared" si="5"/>
        <v>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</row>
    <row r="54" spans="1:65" ht="12.75">
      <c r="A54" s="56"/>
      <c r="B54" s="68"/>
      <c r="C54" s="58"/>
      <c r="D54" s="69"/>
      <c r="E54" s="60"/>
      <c r="F54" s="56"/>
      <c r="G54" s="75"/>
      <c r="H54" s="62"/>
      <c r="I54" s="61"/>
      <c r="J54" s="44"/>
      <c r="K54" s="6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</row>
    <row r="55" spans="1:65" ht="12.75">
      <c r="A55" s="20" t="s">
        <v>24</v>
      </c>
      <c r="B55" s="28" t="s">
        <v>104</v>
      </c>
      <c r="C55" s="29"/>
      <c r="D55" s="29"/>
      <c r="E55" s="29"/>
      <c r="F55" s="29"/>
      <c r="G55" s="38"/>
      <c r="H55" s="42"/>
      <c r="I55" s="43"/>
      <c r="J55" s="45"/>
      <c r="K55" s="2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1:65" ht="78.75">
      <c r="A56" s="56" t="s">
        <v>15</v>
      </c>
      <c r="B56" s="68" t="s">
        <v>190</v>
      </c>
      <c r="C56" s="79"/>
      <c r="D56" s="80"/>
      <c r="E56" s="79"/>
      <c r="F56" s="56" t="s">
        <v>31</v>
      </c>
      <c r="G56" s="75">
        <f>(3.2+5)*3.5</f>
        <v>28.699999999999996</v>
      </c>
      <c r="H56" s="62"/>
      <c r="I56" s="61">
        <f aca="true" t="shared" si="6" ref="I56:I64">H56*G56</f>
        <v>0</v>
      </c>
      <c r="J56" s="63" t="s">
        <v>182</v>
      </c>
      <c r="K56" s="62">
        <f aca="true" t="shared" si="7" ref="K56:K67">I56*(1+J56)</f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</row>
    <row r="57" spans="1:65" ht="66">
      <c r="A57" s="56" t="s">
        <v>27</v>
      </c>
      <c r="B57" s="68" t="s">
        <v>161</v>
      </c>
      <c r="C57" s="79"/>
      <c r="D57" s="80"/>
      <c r="E57" s="79"/>
      <c r="F57" s="56" t="s">
        <v>144</v>
      </c>
      <c r="G57" s="75">
        <v>2</v>
      </c>
      <c r="H57" s="62"/>
      <c r="I57" s="61">
        <f>H57*G57</f>
        <v>0</v>
      </c>
      <c r="J57" s="63" t="s">
        <v>182</v>
      </c>
      <c r="K57" s="62">
        <f t="shared" si="7"/>
        <v>0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</row>
    <row r="58" spans="1:65" ht="52.5">
      <c r="A58" s="56" t="s">
        <v>58</v>
      </c>
      <c r="B58" s="68" t="s">
        <v>162</v>
      </c>
      <c r="C58" s="79"/>
      <c r="D58" s="80"/>
      <c r="E58" s="79"/>
      <c r="F58" s="56" t="s">
        <v>144</v>
      </c>
      <c r="G58" s="75">
        <v>6</v>
      </c>
      <c r="H58" s="62"/>
      <c r="I58" s="61">
        <f>H58*G58</f>
        <v>0</v>
      </c>
      <c r="J58" s="63" t="s">
        <v>182</v>
      </c>
      <c r="K58" s="62">
        <f t="shared" si="7"/>
        <v>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</row>
    <row r="59" spans="1:65" ht="12.75">
      <c r="A59" s="56" t="s">
        <v>118</v>
      </c>
      <c r="B59" s="68" t="s">
        <v>135</v>
      </c>
      <c r="C59" s="79"/>
      <c r="D59" s="80"/>
      <c r="E59" s="79"/>
      <c r="F59" s="56" t="s">
        <v>144</v>
      </c>
      <c r="G59" s="75">
        <v>1</v>
      </c>
      <c r="H59" s="62"/>
      <c r="I59" s="61">
        <f>H59*G59</f>
        <v>0</v>
      </c>
      <c r="J59" s="63" t="s">
        <v>182</v>
      </c>
      <c r="K59" s="62">
        <f t="shared" si="7"/>
        <v>0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</row>
    <row r="60" spans="1:65" ht="26.25">
      <c r="A60" s="56" t="s">
        <v>66</v>
      </c>
      <c r="B60" s="68" t="s">
        <v>136</v>
      </c>
      <c r="C60" s="79"/>
      <c r="D60" s="80"/>
      <c r="E60" s="79"/>
      <c r="F60" s="56" t="s">
        <v>144</v>
      </c>
      <c r="G60" s="75">
        <v>6</v>
      </c>
      <c r="H60" s="62"/>
      <c r="I60" s="61">
        <f>H60*G60</f>
        <v>0</v>
      </c>
      <c r="J60" s="63" t="s">
        <v>182</v>
      </c>
      <c r="K60" s="62">
        <f t="shared" si="7"/>
        <v>0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</row>
    <row r="61" spans="1:65" ht="39">
      <c r="A61" s="56" t="s">
        <v>119</v>
      </c>
      <c r="B61" s="68" t="s">
        <v>168</v>
      </c>
      <c r="C61" s="58"/>
      <c r="D61" s="69"/>
      <c r="E61" s="60"/>
      <c r="F61" s="56" t="s">
        <v>144</v>
      </c>
      <c r="G61" s="75">
        <v>2</v>
      </c>
      <c r="H61" s="62"/>
      <c r="I61" s="61">
        <f t="shared" si="6"/>
        <v>0</v>
      </c>
      <c r="J61" s="63" t="s">
        <v>182</v>
      </c>
      <c r="K61" s="62">
        <f t="shared" si="7"/>
        <v>0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</row>
    <row r="62" spans="1:65" ht="66">
      <c r="A62" s="56" t="s">
        <v>120</v>
      </c>
      <c r="B62" s="68" t="s">
        <v>142</v>
      </c>
      <c r="C62" s="79"/>
      <c r="D62" s="80"/>
      <c r="E62" s="79"/>
      <c r="F62" s="56" t="s">
        <v>144</v>
      </c>
      <c r="G62" s="75">
        <v>1</v>
      </c>
      <c r="H62" s="62"/>
      <c r="I62" s="61">
        <f t="shared" si="6"/>
        <v>0</v>
      </c>
      <c r="J62" s="63" t="s">
        <v>182</v>
      </c>
      <c r="K62" s="62">
        <f t="shared" si="7"/>
        <v>0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</row>
    <row r="63" spans="1:65" ht="52.5">
      <c r="A63" s="56" t="s">
        <v>67</v>
      </c>
      <c r="B63" s="68" t="s">
        <v>164</v>
      </c>
      <c r="C63" s="79"/>
      <c r="D63" s="80"/>
      <c r="E63" s="79"/>
      <c r="F63" s="56" t="s">
        <v>144</v>
      </c>
      <c r="G63" s="75">
        <v>1</v>
      </c>
      <c r="H63" s="62"/>
      <c r="I63" s="61">
        <f t="shared" si="6"/>
        <v>0</v>
      </c>
      <c r="J63" s="63" t="s">
        <v>182</v>
      </c>
      <c r="K63" s="62">
        <f t="shared" si="7"/>
        <v>0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</row>
    <row r="64" spans="1:65" ht="52.5">
      <c r="A64" s="56" t="s">
        <v>68</v>
      </c>
      <c r="B64" s="78" t="s">
        <v>165</v>
      </c>
      <c r="C64" s="79"/>
      <c r="D64" s="80"/>
      <c r="E64" s="79"/>
      <c r="F64" s="56" t="s">
        <v>31</v>
      </c>
      <c r="G64" s="75">
        <f>G56*2</f>
        <v>57.39999999999999</v>
      </c>
      <c r="H64" s="62"/>
      <c r="I64" s="61">
        <f t="shared" si="6"/>
        <v>0</v>
      </c>
      <c r="J64" s="63" t="s">
        <v>182</v>
      </c>
      <c r="K64" s="62">
        <f t="shared" si="7"/>
        <v>0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</row>
    <row r="65" spans="1:65" ht="26.25">
      <c r="A65" s="56" t="s">
        <v>98</v>
      </c>
      <c r="B65" s="78" t="s">
        <v>105</v>
      </c>
      <c r="C65" s="79"/>
      <c r="D65" s="80"/>
      <c r="E65" s="79"/>
      <c r="F65" s="56" t="s">
        <v>31</v>
      </c>
      <c r="G65" s="75">
        <f>(2.5*3.2)+(0.3*3.2)</f>
        <v>8.96</v>
      </c>
      <c r="H65" s="62"/>
      <c r="I65" s="61">
        <f>H65*G65</f>
        <v>0</v>
      </c>
      <c r="J65" s="63" t="s">
        <v>182</v>
      </c>
      <c r="K65" s="62">
        <f t="shared" si="7"/>
        <v>0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</row>
    <row r="66" spans="1:65" ht="52.5">
      <c r="A66" s="56" t="s">
        <v>139</v>
      </c>
      <c r="B66" s="78" t="s">
        <v>166</v>
      </c>
      <c r="C66" s="79"/>
      <c r="D66" s="80"/>
      <c r="E66" s="79"/>
      <c r="F66" s="56" t="s">
        <v>31</v>
      </c>
      <c r="G66" s="75">
        <f>G65</f>
        <v>8.96</v>
      </c>
      <c r="H66" s="62"/>
      <c r="I66" s="61">
        <f>H66*G66</f>
        <v>0</v>
      </c>
      <c r="J66" s="63" t="s">
        <v>182</v>
      </c>
      <c r="K66" s="62">
        <f t="shared" si="7"/>
        <v>0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</row>
    <row r="67" spans="1:65" ht="92.25">
      <c r="A67" s="56" t="s">
        <v>163</v>
      </c>
      <c r="B67" s="81" t="s">
        <v>191</v>
      </c>
      <c r="C67" s="79"/>
      <c r="D67" s="80"/>
      <c r="E67" s="79"/>
      <c r="F67" s="56" t="s">
        <v>144</v>
      </c>
      <c r="G67" s="75">
        <v>4</v>
      </c>
      <c r="H67" s="62"/>
      <c r="I67" s="61">
        <f>H67*G67</f>
        <v>0</v>
      </c>
      <c r="J67" s="63" t="s">
        <v>182</v>
      </c>
      <c r="K67" s="62">
        <f t="shared" si="7"/>
        <v>0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</row>
    <row r="68" spans="1:65" ht="12.75">
      <c r="A68" s="56"/>
      <c r="B68" s="78"/>
      <c r="C68" s="82"/>
      <c r="D68" s="83"/>
      <c r="E68" s="82"/>
      <c r="F68" s="84"/>
      <c r="G68" s="85"/>
      <c r="H68" s="86"/>
      <c r="I68" s="87"/>
      <c r="J68" s="46"/>
      <c r="K68" s="6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1:65" ht="12.75">
      <c r="A69" s="20" t="s">
        <v>25</v>
      </c>
      <c r="B69" s="28" t="s">
        <v>106</v>
      </c>
      <c r="C69" s="29"/>
      <c r="D69" s="29"/>
      <c r="E69" s="29"/>
      <c r="F69" s="29"/>
      <c r="G69" s="38"/>
      <c r="H69" s="42"/>
      <c r="I69" s="43"/>
      <c r="J69" s="45"/>
      <c r="K69" s="2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</row>
    <row r="70" spans="1:65" ht="78.75">
      <c r="A70" s="56" t="s">
        <v>16</v>
      </c>
      <c r="B70" s="78" t="s">
        <v>192</v>
      </c>
      <c r="C70" s="79"/>
      <c r="D70" s="80"/>
      <c r="E70" s="79"/>
      <c r="F70" s="56" t="s">
        <v>31</v>
      </c>
      <c r="G70" s="75">
        <f>(2.5+1.5)*3.5</f>
        <v>14</v>
      </c>
      <c r="H70" s="62"/>
      <c r="I70" s="61">
        <f aca="true" t="shared" si="8" ref="I70:I80">H70*G72</f>
        <v>0</v>
      </c>
      <c r="J70" s="63" t="s">
        <v>182</v>
      </c>
      <c r="K70" s="62">
        <f aca="true" t="shared" si="9" ref="K70:K80">I70*(1+J70)</f>
        <v>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</row>
    <row r="71" spans="1:65" ht="66">
      <c r="A71" s="56" t="s">
        <v>59</v>
      </c>
      <c r="B71" s="68" t="s">
        <v>161</v>
      </c>
      <c r="C71" s="79"/>
      <c r="D71" s="80"/>
      <c r="E71" s="79"/>
      <c r="F71" s="56" t="s">
        <v>144</v>
      </c>
      <c r="G71" s="75">
        <v>1</v>
      </c>
      <c r="H71" s="62"/>
      <c r="I71" s="61">
        <f t="shared" si="8"/>
        <v>0</v>
      </c>
      <c r="J71" s="63" t="s">
        <v>182</v>
      </c>
      <c r="K71" s="62">
        <f t="shared" si="9"/>
        <v>0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</row>
    <row r="72" spans="1:65" ht="52.5">
      <c r="A72" s="56" t="s">
        <v>80</v>
      </c>
      <c r="B72" s="68" t="s">
        <v>162</v>
      </c>
      <c r="C72" s="79"/>
      <c r="D72" s="80"/>
      <c r="E72" s="79"/>
      <c r="F72" s="56" t="s">
        <v>144</v>
      </c>
      <c r="G72" s="75">
        <v>2</v>
      </c>
      <c r="H72" s="62"/>
      <c r="I72" s="61">
        <f t="shared" si="8"/>
        <v>0</v>
      </c>
      <c r="J72" s="63" t="s">
        <v>182</v>
      </c>
      <c r="K72" s="62">
        <f t="shared" si="9"/>
        <v>0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</row>
    <row r="73" spans="1:65" ht="26.25">
      <c r="A73" s="56" t="s">
        <v>97</v>
      </c>
      <c r="B73" s="68" t="s">
        <v>169</v>
      </c>
      <c r="C73" s="79"/>
      <c r="D73" s="80"/>
      <c r="E73" s="79"/>
      <c r="F73" s="56" t="s">
        <v>144</v>
      </c>
      <c r="G73" s="75">
        <v>1</v>
      </c>
      <c r="H73" s="62"/>
      <c r="I73" s="61">
        <f t="shared" si="8"/>
        <v>0</v>
      </c>
      <c r="J73" s="63" t="s">
        <v>182</v>
      </c>
      <c r="K73" s="62">
        <f t="shared" si="9"/>
        <v>0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</row>
    <row r="74" spans="1:65" ht="66">
      <c r="A74" s="56" t="s">
        <v>110</v>
      </c>
      <c r="B74" s="68" t="s">
        <v>140</v>
      </c>
      <c r="C74" s="79"/>
      <c r="D74" s="80"/>
      <c r="E74" s="79"/>
      <c r="F74" s="56" t="s">
        <v>144</v>
      </c>
      <c r="G74" s="75">
        <v>1</v>
      </c>
      <c r="H74" s="62"/>
      <c r="I74" s="61">
        <f t="shared" si="8"/>
        <v>0</v>
      </c>
      <c r="J74" s="63" t="s">
        <v>182</v>
      </c>
      <c r="K74" s="62">
        <f t="shared" si="9"/>
        <v>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</row>
    <row r="75" spans="1:65" ht="52.5">
      <c r="A75" s="56" t="s">
        <v>111</v>
      </c>
      <c r="B75" s="78" t="s">
        <v>165</v>
      </c>
      <c r="C75" s="79"/>
      <c r="D75" s="80"/>
      <c r="E75" s="79"/>
      <c r="F75" s="56" t="s">
        <v>31</v>
      </c>
      <c r="G75" s="75">
        <f>G70*2</f>
        <v>28</v>
      </c>
      <c r="H75" s="62"/>
      <c r="I75" s="61">
        <f t="shared" si="8"/>
        <v>0</v>
      </c>
      <c r="J75" s="63" t="s">
        <v>182</v>
      </c>
      <c r="K75" s="62">
        <f t="shared" si="9"/>
        <v>0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</row>
    <row r="76" spans="1:65" ht="26.25">
      <c r="A76" s="56" t="s">
        <v>121</v>
      </c>
      <c r="B76" s="68" t="s">
        <v>107</v>
      </c>
      <c r="C76" s="79"/>
      <c r="D76" s="80"/>
      <c r="E76" s="79"/>
      <c r="F76" s="56" t="s">
        <v>31</v>
      </c>
      <c r="G76" s="75">
        <f>(2.5*1.5)+((2.8+1.99)*0.3)</f>
        <v>5.187</v>
      </c>
      <c r="H76" s="62"/>
      <c r="I76" s="61">
        <f t="shared" si="8"/>
        <v>0</v>
      </c>
      <c r="J76" s="63" t="s">
        <v>182</v>
      </c>
      <c r="K76" s="62">
        <f t="shared" si="9"/>
        <v>0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</row>
    <row r="77" spans="1:65" ht="52.5">
      <c r="A77" s="56" t="s">
        <v>122</v>
      </c>
      <c r="B77" s="78" t="s">
        <v>166</v>
      </c>
      <c r="C77" s="79"/>
      <c r="D77" s="80"/>
      <c r="E77" s="79"/>
      <c r="F77" s="56" t="s">
        <v>31</v>
      </c>
      <c r="G77" s="75">
        <f>G76</f>
        <v>5.187</v>
      </c>
      <c r="H77" s="62"/>
      <c r="I77" s="61">
        <f t="shared" si="8"/>
        <v>0</v>
      </c>
      <c r="J77" s="63" t="s">
        <v>182</v>
      </c>
      <c r="K77" s="62">
        <f t="shared" si="9"/>
        <v>0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</row>
    <row r="78" spans="1:65" ht="66">
      <c r="A78" s="56" t="s">
        <v>123</v>
      </c>
      <c r="B78" s="68" t="s">
        <v>170</v>
      </c>
      <c r="C78" s="79"/>
      <c r="D78" s="80"/>
      <c r="E78" s="79"/>
      <c r="F78" s="56" t="s">
        <v>144</v>
      </c>
      <c r="G78" s="75">
        <v>1</v>
      </c>
      <c r="H78" s="62"/>
      <c r="I78" s="61">
        <f t="shared" si="8"/>
        <v>0</v>
      </c>
      <c r="J78" s="63" t="s">
        <v>182</v>
      </c>
      <c r="K78" s="62">
        <f t="shared" si="9"/>
        <v>0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</row>
    <row r="79" spans="1:65" ht="92.25">
      <c r="A79" s="56" t="s">
        <v>124</v>
      </c>
      <c r="B79" s="68" t="s">
        <v>171</v>
      </c>
      <c r="C79" s="79"/>
      <c r="D79" s="80"/>
      <c r="E79" s="79"/>
      <c r="F79" s="56" t="s">
        <v>144</v>
      </c>
      <c r="G79" s="75">
        <v>1</v>
      </c>
      <c r="H79" s="62"/>
      <c r="I79" s="61">
        <f t="shared" si="8"/>
        <v>0</v>
      </c>
      <c r="J79" s="63" t="s">
        <v>182</v>
      </c>
      <c r="K79" s="62">
        <f t="shared" si="9"/>
        <v>0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</row>
    <row r="80" spans="1:65" ht="39">
      <c r="A80" s="56" t="s">
        <v>134</v>
      </c>
      <c r="B80" s="68" t="s">
        <v>108</v>
      </c>
      <c r="C80" s="79"/>
      <c r="D80" s="80"/>
      <c r="E80" s="79"/>
      <c r="F80" s="56" t="s">
        <v>144</v>
      </c>
      <c r="G80" s="75">
        <v>1</v>
      </c>
      <c r="H80" s="62"/>
      <c r="I80" s="61">
        <f t="shared" si="8"/>
        <v>0</v>
      </c>
      <c r="J80" s="63" t="s">
        <v>182</v>
      </c>
      <c r="K80" s="62">
        <f t="shared" si="9"/>
        <v>0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</row>
    <row r="81" spans="1:65" ht="12.75">
      <c r="A81" s="56"/>
      <c r="B81" s="68"/>
      <c r="C81" s="79"/>
      <c r="D81" s="80"/>
      <c r="E81" s="79"/>
      <c r="F81" s="56"/>
      <c r="G81" s="75"/>
      <c r="H81" s="62"/>
      <c r="I81" s="61"/>
      <c r="J81" s="63"/>
      <c r="K81" s="66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</row>
    <row r="82" spans="1:65" ht="26.25">
      <c r="A82" s="20" t="s">
        <v>82</v>
      </c>
      <c r="B82" s="28" t="s">
        <v>138</v>
      </c>
      <c r="C82" s="29"/>
      <c r="D82" s="29"/>
      <c r="E82" s="29"/>
      <c r="F82" s="29"/>
      <c r="G82" s="38"/>
      <c r="H82" s="42"/>
      <c r="I82" s="43"/>
      <c r="J82" s="45"/>
      <c r="K82" s="21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</row>
    <row r="83" spans="1:11" s="4" customFormat="1" ht="26.25">
      <c r="A83" s="56" t="s">
        <v>28</v>
      </c>
      <c r="B83" s="81" t="s">
        <v>92</v>
      </c>
      <c r="C83" s="25"/>
      <c r="D83" s="25"/>
      <c r="E83" s="25"/>
      <c r="F83" s="88" t="s">
        <v>31</v>
      </c>
      <c r="G83" s="75">
        <f>2.4*4</f>
        <v>9.6</v>
      </c>
      <c r="H83" s="62"/>
      <c r="I83" s="61">
        <f>H83*G85</f>
        <v>0</v>
      </c>
      <c r="J83" s="63" t="s">
        <v>182</v>
      </c>
      <c r="K83" s="62">
        <f aca="true" t="shared" si="10" ref="K83:K89">I83*(1+J83)</f>
        <v>0</v>
      </c>
    </row>
    <row r="84" spans="1:11" s="4" customFormat="1" ht="39">
      <c r="A84" s="56" t="s">
        <v>51</v>
      </c>
      <c r="B84" s="81" t="s">
        <v>173</v>
      </c>
      <c r="C84" s="25"/>
      <c r="D84" s="25"/>
      <c r="E84" s="25"/>
      <c r="F84" s="56" t="s">
        <v>144</v>
      </c>
      <c r="G84" s="75">
        <v>1</v>
      </c>
      <c r="H84" s="62"/>
      <c r="I84" s="61">
        <f aca="true" t="shared" si="11" ref="I84:I89">H84*G84</f>
        <v>0</v>
      </c>
      <c r="J84" s="63" t="s">
        <v>182</v>
      </c>
      <c r="K84" s="62">
        <f t="shared" si="10"/>
        <v>0</v>
      </c>
    </row>
    <row r="85" spans="1:11" s="4" customFormat="1" ht="66">
      <c r="A85" s="56" t="s">
        <v>52</v>
      </c>
      <c r="B85" s="81" t="s">
        <v>172</v>
      </c>
      <c r="C85" s="25"/>
      <c r="D85" s="25"/>
      <c r="E85" s="25"/>
      <c r="F85" s="89" t="s">
        <v>31</v>
      </c>
      <c r="G85" s="75">
        <f>(2.4+0.7)*4</f>
        <v>12.399999999999999</v>
      </c>
      <c r="H85" s="62"/>
      <c r="I85" s="61">
        <f t="shared" si="11"/>
        <v>0</v>
      </c>
      <c r="J85" s="63" t="s">
        <v>182</v>
      </c>
      <c r="K85" s="62">
        <f t="shared" si="10"/>
        <v>0</v>
      </c>
    </row>
    <row r="86" spans="1:11" s="4" customFormat="1" ht="52.5">
      <c r="A86" s="56" t="s">
        <v>54</v>
      </c>
      <c r="B86" s="78" t="s">
        <v>81</v>
      </c>
      <c r="C86" s="25"/>
      <c r="D86" s="25"/>
      <c r="E86" s="25"/>
      <c r="F86" s="56" t="s">
        <v>144</v>
      </c>
      <c r="G86" s="75">
        <v>1</v>
      </c>
      <c r="H86" s="62"/>
      <c r="I86" s="61">
        <f t="shared" si="11"/>
        <v>0</v>
      </c>
      <c r="J86" s="63" t="s">
        <v>182</v>
      </c>
      <c r="K86" s="62">
        <f t="shared" si="10"/>
        <v>0</v>
      </c>
    </row>
    <row r="87" spans="1:11" s="4" customFormat="1" ht="52.5">
      <c r="A87" s="56" t="s">
        <v>55</v>
      </c>
      <c r="B87" s="78" t="s">
        <v>165</v>
      </c>
      <c r="C87" s="27"/>
      <c r="D87" s="27"/>
      <c r="E87" s="27"/>
      <c r="F87" s="26" t="s">
        <v>31</v>
      </c>
      <c r="G87" s="75">
        <f>((2.4+0.7)*3.5)*2</f>
        <v>21.699999999999996</v>
      </c>
      <c r="H87" s="62"/>
      <c r="I87" s="61">
        <f t="shared" si="11"/>
        <v>0</v>
      </c>
      <c r="J87" s="63" t="s">
        <v>182</v>
      </c>
      <c r="K87" s="62">
        <f t="shared" si="10"/>
        <v>0</v>
      </c>
    </row>
    <row r="88" spans="1:11" s="4" customFormat="1" ht="92.25">
      <c r="A88" s="56" t="s">
        <v>83</v>
      </c>
      <c r="B88" s="81" t="s">
        <v>167</v>
      </c>
      <c r="C88" s="27"/>
      <c r="D88" s="27"/>
      <c r="E88" s="27"/>
      <c r="F88" s="56" t="s">
        <v>144</v>
      </c>
      <c r="G88" s="75">
        <v>2</v>
      </c>
      <c r="H88" s="62"/>
      <c r="I88" s="61">
        <f t="shared" si="11"/>
        <v>0</v>
      </c>
      <c r="J88" s="63" t="s">
        <v>182</v>
      </c>
      <c r="K88" s="62">
        <f t="shared" si="10"/>
        <v>0</v>
      </c>
    </row>
    <row r="89" spans="1:11" s="4" customFormat="1" ht="39">
      <c r="A89" s="56" t="s">
        <v>96</v>
      </c>
      <c r="B89" s="81" t="s">
        <v>109</v>
      </c>
      <c r="C89" s="27"/>
      <c r="D89" s="27"/>
      <c r="E89" s="27"/>
      <c r="F89" s="26" t="s">
        <v>31</v>
      </c>
      <c r="G89" s="75">
        <v>5</v>
      </c>
      <c r="H89" s="62"/>
      <c r="I89" s="61">
        <f t="shared" si="11"/>
        <v>0</v>
      </c>
      <c r="J89" s="63" t="s">
        <v>182</v>
      </c>
      <c r="K89" s="62">
        <f t="shared" si="10"/>
        <v>0</v>
      </c>
    </row>
    <row r="90" spans="1:11" s="4" customFormat="1" ht="12.75">
      <c r="A90" s="56"/>
      <c r="B90" s="81"/>
      <c r="C90" s="27"/>
      <c r="D90" s="27"/>
      <c r="E90" s="27"/>
      <c r="F90" s="26"/>
      <c r="G90" s="39"/>
      <c r="H90" s="62"/>
      <c r="I90" s="61"/>
      <c r="J90" s="46"/>
      <c r="K90" s="66"/>
    </row>
    <row r="91" spans="1:65" ht="12.75">
      <c r="A91" s="20" t="s">
        <v>84</v>
      </c>
      <c r="B91" s="28" t="s">
        <v>57</v>
      </c>
      <c r="C91" s="29"/>
      <c r="D91" s="29"/>
      <c r="E91" s="29"/>
      <c r="F91" s="29"/>
      <c r="G91" s="38"/>
      <c r="H91" s="42"/>
      <c r="I91" s="43"/>
      <c r="J91" s="45"/>
      <c r="K91" s="21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</row>
    <row r="92" spans="1:11" s="4" customFormat="1" ht="26.25">
      <c r="A92" s="56" t="s">
        <v>85</v>
      </c>
      <c r="B92" s="90" t="s">
        <v>103</v>
      </c>
      <c r="C92" s="58"/>
      <c r="D92" s="69"/>
      <c r="E92" s="60"/>
      <c r="F92" s="56" t="s">
        <v>144</v>
      </c>
      <c r="G92" s="75">
        <v>90</v>
      </c>
      <c r="H92" s="62"/>
      <c r="I92" s="61">
        <f aca="true" t="shared" si="12" ref="I92:I97">H92*G92</f>
        <v>0</v>
      </c>
      <c r="J92" s="63" t="s">
        <v>182</v>
      </c>
      <c r="K92" s="62">
        <f aca="true" t="shared" si="13" ref="K92:K99">I92*(1+J92)</f>
        <v>0</v>
      </c>
    </row>
    <row r="93" spans="1:65" ht="26.25">
      <c r="A93" s="56" t="s">
        <v>86</v>
      </c>
      <c r="B93" s="68" t="s">
        <v>174</v>
      </c>
      <c r="C93" s="79"/>
      <c r="D93" s="80"/>
      <c r="E93" s="79"/>
      <c r="F93" s="56" t="s">
        <v>64</v>
      </c>
      <c r="G93" s="75">
        <f>G39</f>
        <v>83.78</v>
      </c>
      <c r="H93" s="62"/>
      <c r="I93" s="61">
        <f t="shared" si="12"/>
        <v>0</v>
      </c>
      <c r="J93" s="63" t="s">
        <v>182</v>
      </c>
      <c r="K93" s="62">
        <f t="shared" si="13"/>
        <v>0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</row>
    <row r="94" spans="1:65" ht="26.25">
      <c r="A94" s="56" t="s">
        <v>125</v>
      </c>
      <c r="B94" s="68" t="s">
        <v>175</v>
      </c>
      <c r="C94" s="79"/>
      <c r="D94" s="80"/>
      <c r="E94" s="79"/>
      <c r="F94" s="56" t="s">
        <v>64</v>
      </c>
      <c r="G94" s="75">
        <f>15*4</f>
        <v>60</v>
      </c>
      <c r="H94" s="62"/>
      <c r="I94" s="61">
        <f t="shared" si="12"/>
        <v>0</v>
      </c>
      <c r="J94" s="63" t="s">
        <v>182</v>
      </c>
      <c r="K94" s="62">
        <f t="shared" si="13"/>
        <v>0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</row>
    <row r="95" spans="1:65" ht="26.25">
      <c r="A95" s="56" t="s">
        <v>126</v>
      </c>
      <c r="B95" s="68" t="s">
        <v>77</v>
      </c>
      <c r="C95" s="79"/>
      <c r="D95" s="80"/>
      <c r="E95" s="79"/>
      <c r="F95" s="56" t="s">
        <v>65</v>
      </c>
      <c r="G95" s="75">
        <v>1100</v>
      </c>
      <c r="H95" s="62"/>
      <c r="I95" s="61">
        <f t="shared" si="12"/>
        <v>0</v>
      </c>
      <c r="J95" s="63" t="s">
        <v>182</v>
      </c>
      <c r="K95" s="62">
        <f t="shared" si="13"/>
        <v>0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</row>
    <row r="96" spans="1:65" ht="52.5">
      <c r="A96" s="56" t="s">
        <v>127</v>
      </c>
      <c r="B96" s="68" t="s">
        <v>193</v>
      </c>
      <c r="C96" s="79"/>
      <c r="D96" s="80"/>
      <c r="E96" s="79"/>
      <c r="F96" s="56" t="s">
        <v>31</v>
      </c>
      <c r="G96" s="75">
        <f>G34*4</f>
        <v>3505.7999999999997</v>
      </c>
      <c r="H96" s="62"/>
      <c r="I96" s="61">
        <f t="shared" si="12"/>
        <v>0</v>
      </c>
      <c r="J96" s="63" t="s">
        <v>182</v>
      </c>
      <c r="K96" s="62">
        <f t="shared" si="13"/>
        <v>0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</row>
    <row r="97" spans="1:65" ht="26.25">
      <c r="A97" s="56" t="s">
        <v>128</v>
      </c>
      <c r="B97" s="118" t="s">
        <v>78</v>
      </c>
      <c r="C97" s="79"/>
      <c r="D97" s="80"/>
      <c r="E97" s="79"/>
      <c r="F97" s="56" t="s">
        <v>31</v>
      </c>
      <c r="G97" s="75">
        <v>15</v>
      </c>
      <c r="H97" s="62"/>
      <c r="I97" s="61">
        <f t="shared" si="12"/>
        <v>0</v>
      </c>
      <c r="J97" s="63" t="s">
        <v>182</v>
      </c>
      <c r="K97" s="62">
        <f t="shared" si="13"/>
        <v>0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</row>
    <row r="98" spans="1:65" ht="26.25">
      <c r="A98" s="56" t="s">
        <v>129</v>
      </c>
      <c r="B98" s="68" t="s">
        <v>176</v>
      </c>
      <c r="C98" s="79"/>
      <c r="D98" s="80"/>
      <c r="E98" s="79"/>
      <c r="F98" s="56" t="s">
        <v>31</v>
      </c>
      <c r="G98" s="75">
        <f>((9.7*0.3)*22)*0.5</f>
        <v>32.01</v>
      </c>
      <c r="H98" s="62"/>
      <c r="I98" s="61">
        <f>H98*G98</f>
        <v>0</v>
      </c>
      <c r="J98" s="63" t="s">
        <v>182</v>
      </c>
      <c r="K98" s="62">
        <f t="shared" si="13"/>
        <v>0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</row>
    <row r="99" spans="1:65" ht="26.25">
      <c r="A99" s="56" t="s">
        <v>130</v>
      </c>
      <c r="B99" s="68" t="s">
        <v>177</v>
      </c>
      <c r="C99" s="79"/>
      <c r="D99" s="80"/>
      <c r="E99" s="79"/>
      <c r="F99" s="56" t="s">
        <v>31</v>
      </c>
      <c r="G99" s="75">
        <v>735</v>
      </c>
      <c r="H99" s="62"/>
      <c r="I99" s="61">
        <f>H99*G99</f>
        <v>0</v>
      </c>
      <c r="J99" s="63" t="s">
        <v>182</v>
      </c>
      <c r="K99" s="62">
        <f t="shared" si="13"/>
        <v>0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</row>
    <row r="100" spans="1:65" ht="12.75">
      <c r="A100" s="56"/>
      <c r="B100" s="65"/>
      <c r="C100" s="91"/>
      <c r="D100" s="92"/>
      <c r="E100" s="91"/>
      <c r="F100" s="93"/>
      <c r="G100" s="94"/>
      <c r="H100" s="62"/>
      <c r="I100" s="61"/>
      <c r="J100" s="44"/>
      <c r="K100" s="66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</row>
    <row r="101" spans="1:65" ht="12.75">
      <c r="A101" s="20" t="s">
        <v>131</v>
      </c>
      <c r="B101" s="28" t="s">
        <v>21</v>
      </c>
      <c r="C101" s="29"/>
      <c r="D101" s="29"/>
      <c r="E101" s="29"/>
      <c r="F101" s="29"/>
      <c r="G101" s="38"/>
      <c r="H101" s="42"/>
      <c r="I101" s="43"/>
      <c r="J101" s="45"/>
      <c r="K101" s="21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</row>
    <row r="102" spans="1:11" s="4" customFormat="1" ht="12.75">
      <c r="A102" s="95" t="s">
        <v>132</v>
      </c>
      <c r="B102" s="90" t="s">
        <v>26</v>
      </c>
      <c r="C102" s="58"/>
      <c r="D102" s="69"/>
      <c r="E102" s="60"/>
      <c r="F102" s="56" t="s">
        <v>31</v>
      </c>
      <c r="G102" s="75">
        <f>G33</f>
        <v>766.9100000000001</v>
      </c>
      <c r="H102" s="62"/>
      <c r="I102" s="61">
        <f>H102*G102</f>
        <v>0</v>
      </c>
      <c r="J102" s="63" t="s">
        <v>182</v>
      </c>
      <c r="K102" s="62">
        <f>I102*(1+J102)</f>
        <v>0</v>
      </c>
    </row>
    <row r="103" spans="1:11" s="4" customFormat="1" ht="39">
      <c r="A103" s="95" t="s">
        <v>133</v>
      </c>
      <c r="B103" s="96" t="s">
        <v>179</v>
      </c>
      <c r="C103" s="58"/>
      <c r="D103" s="69"/>
      <c r="E103" s="60"/>
      <c r="F103" s="56" t="s">
        <v>144</v>
      </c>
      <c r="G103" s="75">
        <f>G14</f>
        <v>280</v>
      </c>
      <c r="H103" s="62"/>
      <c r="I103" s="61">
        <f>H103*G103</f>
        <v>0</v>
      </c>
      <c r="J103" s="63" t="s">
        <v>182</v>
      </c>
      <c r="K103" s="62">
        <f>I103*(1+J103)</f>
        <v>0</v>
      </c>
    </row>
    <row r="104" spans="1:11" s="4" customFormat="1" ht="39">
      <c r="A104" s="97" t="s">
        <v>141</v>
      </c>
      <c r="B104" s="98" t="s">
        <v>180</v>
      </c>
      <c r="C104" s="99"/>
      <c r="D104" s="100"/>
      <c r="E104" s="101"/>
      <c r="F104" s="102" t="s">
        <v>31</v>
      </c>
      <c r="G104" s="103">
        <v>50</v>
      </c>
      <c r="H104" s="104"/>
      <c r="I104" s="61">
        <f>H104*G104</f>
        <v>0</v>
      </c>
      <c r="J104" s="63" t="s">
        <v>182</v>
      </c>
      <c r="K104" s="62">
        <f>I104*(1+J104)</f>
        <v>0</v>
      </c>
    </row>
    <row r="105" spans="1:65" ht="13.5" thickBot="1">
      <c r="A105" s="102"/>
      <c r="B105" s="105"/>
      <c r="C105" s="101"/>
      <c r="D105" s="100"/>
      <c r="E105" s="101"/>
      <c r="F105" s="102"/>
      <c r="G105" s="106"/>
      <c r="H105" s="104"/>
      <c r="I105" s="107"/>
      <c r="J105" s="47"/>
      <c r="K105" s="10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</row>
    <row r="106" spans="1:65" ht="13.5">
      <c r="A106" s="125" t="s">
        <v>60</v>
      </c>
      <c r="B106" s="126"/>
      <c r="C106" s="126"/>
      <c r="D106" s="126"/>
      <c r="E106" s="126"/>
      <c r="F106" s="126"/>
      <c r="G106" s="126"/>
      <c r="H106" s="126"/>
      <c r="I106" s="126"/>
      <c r="J106" s="35"/>
      <c r="K106" s="36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</row>
    <row r="107" spans="1:65" ht="12">
      <c r="A107" s="5"/>
      <c r="B107" s="132"/>
      <c r="C107" s="5"/>
      <c r="D107" s="5"/>
      <c r="E107" s="5"/>
      <c r="F107" s="5"/>
      <c r="G107" s="41"/>
      <c r="H107" s="5"/>
      <c r="I107" s="24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</row>
  </sheetData>
  <sheetProtection/>
  <mergeCells count="6">
    <mergeCell ref="A7:K7"/>
    <mergeCell ref="A8:K8"/>
    <mergeCell ref="A106:I106"/>
    <mergeCell ref="B1:K1"/>
    <mergeCell ref="B3:H3"/>
    <mergeCell ref="B4:H4"/>
  </mergeCells>
  <printOptions horizontalCentered="1"/>
  <pageMargins left="0.984251968503937" right="0.3937007874015748" top="0.984251968503937" bottom="0.3937007874015748" header="0" footer="0"/>
  <pageSetup fitToHeight="20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2019-08-27T02:06:29Z</cp:lastPrinted>
  <dcterms:created xsi:type="dcterms:W3CDTF">1999-10-28T13:04:24Z</dcterms:created>
  <dcterms:modified xsi:type="dcterms:W3CDTF">2019-08-27T02:13:12Z</dcterms:modified>
  <cp:category/>
  <cp:version/>
  <cp:contentType/>
  <cp:contentStatus/>
</cp:coreProperties>
</file>